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המלג\עדכון תשף\"/>
    </mc:Choice>
  </mc:AlternateContent>
  <bookViews>
    <workbookView xWindow="240" yWindow="765" windowWidth="11115" windowHeight="4965"/>
  </bookViews>
  <sheets>
    <sheet name="Table 1" sheetId="1" r:id="rId1"/>
  </sheets>
  <externalReferences>
    <externalReference r:id="rId2"/>
    <externalReference r:id="rId3"/>
    <externalReference r:id="rId4"/>
  </externalReferences>
  <definedNames>
    <definedName name="_Fill" localSheetId="0" hidden="1">'Table 1'!$DX$104:$DX$116</definedName>
    <definedName name="_Key1" localSheetId="0" hidden="1">'Table 1'!#REF!</definedName>
    <definedName name="_Order1" hidden="1">255</definedName>
    <definedName name="_Parse_Out" localSheetId="0" hidden="1">'Table 1'!$DY$12:$EL$62</definedName>
    <definedName name="_Regression_Int" localSheetId="0" hidden="1">1</definedName>
    <definedName name="_Sort" localSheetId="0" hidden="1">'Table 1'!#REF!</definedName>
    <definedName name="Print_Area_MI" localSheetId="0">'Table 1'!$EW$193:$FC$229</definedName>
    <definedName name="Print_Titles_MI" localSheetId="0">'Table 1'!$890:$890</definedName>
    <definedName name="_xlnm.Print_Area" localSheetId="0">'Table 1'!$A$1:$W$57</definedName>
    <definedName name="_xlnm.Print_Titles" localSheetId="0">'Table 1'!$890:$890</definedName>
  </definedNames>
  <calcPr calcId="162913" concurrentCalc="0"/>
</workbook>
</file>

<file path=xl/calcChain.xml><?xml version="1.0" encoding="utf-8"?>
<calcChain xmlns="http://schemas.openxmlformats.org/spreadsheetml/2006/main">
  <c r="R45" i="1" l="1"/>
  <c r="U45" i="1"/>
  <c r="U44" i="1"/>
  <c r="B44" i="1"/>
  <c r="R44" i="1"/>
  <c r="F43" i="1"/>
  <c r="R43" i="1"/>
  <c r="B43" i="1"/>
  <c r="U43" i="1"/>
  <c r="B42" i="1"/>
  <c r="F41" i="1"/>
  <c r="R41" i="1"/>
  <c r="R42" i="1"/>
  <c r="U42" i="1"/>
  <c r="B41" i="1"/>
  <c r="U41" i="1"/>
  <c r="B40" i="1"/>
  <c r="R40" i="1"/>
  <c r="U40" i="1"/>
  <c r="B39" i="1"/>
  <c r="R39" i="1"/>
  <c r="U39" i="1"/>
  <c r="B38" i="1"/>
  <c r="O38" i="1"/>
  <c r="L38" i="1"/>
  <c r="R38" i="1"/>
  <c r="U38" i="1"/>
  <c r="B37" i="1"/>
  <c r="R37" i="1"/>
  <c r="R30" i="1"/>
  <c r="U30" i="1"/>
  <c r="U31" i="1"/>
  <c r="U32" i="1"/>
  <c r="U33" i="1"/>
  <c r="B35" i="1"/>
  <c r="U35" i="1"/>
  <c r="B36" i="1"/>
  <c r="U36" i="1"/>
  <c r="B23" i="1"/>
  <c r="B24" i="1"/>
  <c r="B25" i="1"/>
  <c r="B26" i="1"/>
  <c r="B34" i="1"/>
  <c r="R34" i="1"/>
  <c r="C34" i="1"/>
  <c r="D34" i="1"/>
  <c r="F34" i="1"/>
  <c r="G34" i="1"/>
  <c r="H34" i="1"/>
  <c r="I34" i="1"/>
  <c r="J34" i="1"/>
  <c r="K34" i="1"/>
  <c r="L34" i="1"/>
  <c r="M34" i="1"/>
  <c r="N34" i="1"/>
  <c r="O34" i="1"/>
  <c r="P34" i="1"/>
  <c r="Q34" i="1"/>
  <c r="B29" i="1"/>
  <c r="DC11" i="1"/>
  <c r="DC9" i="1"/>
  <c r="DD11" i="1"/>
  <c r="EH118" i="1"/>
  <c r="DD9" i="1"/>
  <c r="EH117" i="1"/>
  <c r="EH126" i="1"/>
  <c r="DE11" i="1"/>
  <c r="GA191" i="1"/>
  <c r="GM191" i="1"/>
  <c r="DF11" i="1"/>
  <c r="DG11" i="1"/>
  <c r="DG9" i="1"/>
  <c r="EK12" i="1"/>
  <c r="DH11" i="1"/>
  <c r="DH9" i="1"/>
  <c r="EJ12" i="1"/>
  <c r="DI11" i="1"/>
  <c r="AX11" i="1"/>
  <c r="BD11" i="1"/>
  <c r="AX12" i="1"/>
  <c r="BD12" i="1"/>
  <c r="EU12" i="1"/>
  <c r="EV12" i="1"/>
  <c r="EW12" i="1"/>
  <c r="EX12" i="1"/>
  <c r="EY12" i="1"/>
  <c r="EZ12" i="1"/>
  <c r="FA12" i="1"/>
  <c r="FB12" i="1"/>
  <c r="FJ12" i="1"/>
  <c r="FK12" i="1"/>
  <c r="FL12" i="1"/>
  <c r="FM12" i="1"/>
  <c r="FN12" i="1"/>
  <c r="FO12" i="1"/>
  <c r="FP12" i="1"/>
  <c r="FQ12" i="1"/>
  <c r="HC12" i="1"/>
  <c r="HD12" i="1"/>
  <c r="HE12" i="1"/>
  <c r="HF12" i="1"/>
  <c r="HG12" i="1"/>
  <c r="EL47" i="1"/>
  <c r="C14" i="1"/>
  <c r="AH14" i="1"/>
  <c r="EL48" i="1"/>
  <c r="EL49" i="1"/>
  <c r="C15" i="1"/>
  <c r="R15" i="1"/>
  <c r="U15" i="1"/>
  <c r="R16" i="1"/>
  <c r="U16" i="1"/>
  <c r="Y16" i="1"/>
  <c r="Y15" i="1"/>
  <c r="O27" i="1"/>
  <c r="AE15" i="1"/>
  <c r="AF15" i="1"/>
  <c r="AG15" i="1"/>
  <c r="AH15" i="1"/>
  <c r="AI15" i="1"/>
  <c r="AJ15" i="1"/>
  <c r="BX52" i="1"/>
  <c r="BX55" i="1"/>
  <c r="BX56" i="1"/>
  <c r="ED60" i="1"/>
  <c r="EE60" i="1"/>
  <c r="EA60" i="1"/>
  <c r="C16" i="1"/>
  <c r="AG16" i="1"/>
  <c r="AH16" i="1"/>
  <c r="AI16" i="1"/>
  <c r="AJ16" i="1"/>
  <c r="R17" i="1"/>
  <c r="U17" i="1"/>
  <c r="AC18" i="1"/>
  <c r="AG17" i="1"/>
  <c r="AH17" i="1"/>
  <c r="AJ17" i="1"/>
  <c r="BV52" i="1"/>
  <c r="BV55" i="1"/>
  <c r="BV51" i="1"/>
  <c r="BV54" i="1"/>
  <c r="BV56" i="1"/>
  <c r="B18" i="1"/>
  <c r="AL19" i="1"/>
  <c r="O18" i="1"/>
  <c r="O25" i="1"/>
  <c r="X25" i="1"/>
  <c r="R25" i="1"/>
  <c r="U25" i="1"/>
  <c r="AG18" i="1"/>
  <c r="AH18" i="1"/>
  <c r="AJ18" i="1"/>
  <c r="AL18" i="1"/>
  <c r="R21" i="1"/>
  <c r="Z22" i="1"/>
  <c r="C19" i="1"/>
  <c r="X19" i="1"/>
  <c r="AH19" i="1"/>
  <c r="AJ19" i="1"/>
  <c r="X20" i="1"/>
  <c r="AG20" i="1"/>
  <c r="AH20" i="1"/>
  <c r="AI20" i="1"/>
  <c r="AJ20" i="1"/>
  <c r="AL20" i="1"/>
  <c r="C21" i="1"/>
  <c r="X21" i="1"/>
  <c r="AG21" i="1"/>
  <c r="AH21" i="1"/>
  <c r="AJ21" i="1"/>
  <c r="AL21" i="1"/>
  <c r="ED62" i="1"/>
  <c r="O22" i="1"/>
  <c r="AG22" i="1"/>
  <c r="AH22" i="1"/>
  <c r="AJ22" i="1"/>
  <c r="AL22" i="1"/>
  <c r="C23" i="1"/>
  <c r="O23" i="1"/>
  <c r="X23" i="1"/>
  <c r="O24" i="1"/>
  <c r="AC23" i="1"/>
  <c r="AE23" i="1"/>
  <c r="AF23" i="1"/>
  <c r="AH23" i="1"/>
  <c r="AJ23" i="1"/>
  <c r="AL23" i="1"/>
  <c r="AC24" i="1"/>
  <c r="O26" i="1"/>
  <c r="AE25" i="1"/>
  <c r="AE26" i="1"/>
  <c r="B27" i="1"/>
  <c r="Y27" i="1"/>
  <c r="AC27" i="1"/>
  <c r="B28" i="1"/>
  <c r="O28" i="1"/>
  <c r="O29" i="1"/>
  <c r="R29" i="1"/>
  <c r="U29" i="1"/>
  <c r="Y44" i="1"/>
  <c r="X45" i="1"/>
  <c r="Y45" i="1"/>
  <c r="AC45" i="1"/>
  <c r="CH47" i="1"/>
  <c r="CZ47" i="1"/>
  <c r="CI47" i="1"/>
  <c r="CJ47" i="1"/>
  <c r="CX47" i="1"/>
  <c r="CK47" i="1"/>
  <c r="CW47" i="1"/>
  <c r="CL47" i="1"/>
  <c r="CV47" i="1"/>
  <c r="EI47" i="1"/>
  <c r="EJ47" i="1"/>
  <c r="EK47" i="1"/>
  <c r="EM47" i="1"/>
  <c r="EN47" i="1"/>
  <c r="CH48" i="1"/>
  <c r="CZ48" i="1"/>
  <c r="CI48" i="1"/>
  <c r="CY48" i="1"/>
  <c r="CJ48" i="1"/>
  <c r="CX48" i="1"/>
  <c r="CK48" i="1"/>
  <c r="CW48" i="1"/>
  <c r="CL48" i="1"/>
  <c r="EI48" i="1"/>
  <c r="EJ48" i="1"/>
  <c r="EK48" i="1"/>
  <c r="EM48" i="1"/>
  <c r="EN48" i="1"/>
  <c r="FB48" i="1"/>
  <c r="FJ48" i="1"/>
  <c r="FK48" i="1"/>
  <c r="FL48" i="1"/>
  <c r="FM48" i="1"/>
  <c r="FN48" i="1"/>
  <c r="CH49" i="1"/>
  <c r="CZ49" i="1"/>
  <c r="CI49" i="1"/>
  <c r="CY49" i="1"/>
  <c r="CJ49" i="1"/>
  <c r="CX49" i="1"/>
  <c r="CK49" i="1"/>
  <c r="CW49" i="1"/>
  <c r="CL49" i="1"/>
  <c r="CV49" i="1"/>
  <c r="EI49" i="1"/>
  <c r="EJ49" i="1"/>
  <c r="EK49" i="1"/>
  <c r="EM49" i="1"/>
  <c r="EN49" i="1"/>
  <c r="CH50" i="1"/>
  <c r="CZ50" i="1"/>
  <c r="CI50" i="1"/>
  <c r="CY50" i="1"/>
  <c r="CJ50" i="1"/>
  <c r="CX50" i="1"/>
  <c r="CK50" i="1"/>
  <c r="CW50" i="1"/>
  <c r="CL50" i="1"/>
  <c r="CV50" i="1"/>
  <c r="FB50" i="1"/>
  <c r="FJ50" i="1"/>
  <c r="FK50" i="1"/>
  <c r="FM50" i="1"/>
  <c r="FN50" i="1"/>
  <c r="FO50" i="1"/>
  <c r="CM154" i="1"/>
  <c r="CL164" i="1"/>
  <c r="BX51" i="1"/>
  <c r="CH51" i="1"/>
  <c r="CZ51" i="1"/>
  <c r="CI51" i="1"/>
  <c r="CY51" i="1"/>
  <c r="CJ51" i="1"/>
  <c r="CX51" i="1"/>
  <c r="CK51" i="1"/>
  <c r="CW51" i="1"/>
  <c r="CL51" i="1"/>
  <c r="CV51" i="1"/>
  <c r="CM152" i="1"/>
  <c r="CI162" i="1"/>
  <c r="CY162" i="1"/>
  <c r="CI52" i="1"/>
  <c r="CJ52" i="1"/>
  <c r="CX52" i="1"/>
  <c r="CV52" i="1"/>
  <c r="CW52" i="1"/>
  <c r="CZ52" i="1"/>
  <c r="DC52" i="1"/>
  <c r="DD52" i="1"/>
  <c r="EE119" i="1"/>
  <c r="DE52" i="1"/>
  <c r="EE85" i="1"/>
  <c r="DF52" i="1"/>
  <c r="DG52" i="1"/>
  <c r="DH52" i="1"/>
  <c r="DI52" i="1"/>
  <c r="DJ190" i="1"/>
  <c r="EV52" i="1"/>
  <c r="EW52" i="1"/>
  <c r="FO52" i="1"/>
  <c r="EY52" i="1"/>
  <c r="EZ52" i="1"/>
  <c r="FL52" i="1"/>
  <c r="FA52" i="1"/>
  <c r="FK52" i="1"/>
  <c r="CM155" i="1"/>
  <c r="BU54" i="1"/>
  <c r="BT54" i="1"/>
  <c r="BX54" i="1"/>
  <c r="CM153" i="1"/>
  <c r="FB55" i="1"/>
  <c r="FJ55" i="1"/>
  <c r="FK55" i="1"/>
  <c r="FL55" i="1"/>
  <c r="FM55" i="1"/>
  <c r="FP55" i="1"/>
  <c r="CM156" i="1"/>
  <c r="CH57" i="1"/>
  <c r="CI57" i="1"/>
  <c r="CJ57" i="1"/>
  <c r="CK57" i="1"/>
  <c r="CL57" i="1"/>
  <c r="CM57" i="1"/>
  <c r="CU57" i="1"/>
  <c r="EE56" i="1"/>
  <c r="ED58" i="1"/>
  <c r="EE58" i="1"/>
  <c r="EE59" i="1"/>
  <c r="EE61" i="1"/>
  <c r="ED61" i="1"/>
  <c r="EA61" i="1"/>
  <c r="EE62" i="1"/>
  <c r="FB56" i="1"/>
  <c r="FJ56" i="1"/>
  <c r="FK56" i="1"/>
  <c r="FM56" i="1"/>
  <c r="FO56" i="1"/>
  <c r="FP56" i="1"/>
  <c r="CM157" i="1"/>
  <c r="BU57" i="1"/>
  <c r="BT57" i="1"/>
  <c r="BV57" i="1"/>
  <c r="BX57" i="1"/>
  <c r="CH58" i="1"/>
  <c r="CZ58" i="1"/>
  <c r="CI58" i="1"/>
  <c r="CY58" i="1"/>
  <c r="CJ58" i="1"/>
  <c r="CX58" i="1"/>
  <c r="CK58" i="1"/>
  <c r="CW58" i="1"/>
  <c r="CL58" i="1"/>
  <c r="CV58" i="1"/>
  <c r="CM58" i="1"/>
  <c r="CU58" i="1"/>
  <c r="EU58" i="1"/>
  <c r="FQ58" i="1"/>
  <c r="EV58" i="1"/>
  <c r="EW58" i="1"/>
  <c r="FO58" i="1"/>
  <c r="EX58" i="1"/>
  <c r="FN58" i="1"/>
  <c r="EY58" i="1"/>
  <c r="FM58" i="1"/>
  <c r="EZ58" i="1"/>
  <c r="FL58" i="1"/>
  <c r="FA58" i="1"/>
  <c r="FK58" i="1"/>
  <c r="CH59" i="1"/>
  <c r="CZ59" i="1"/>
  <c r="CI59" i="1"/>
  <c r="CY59" i="1"/>
  <c r="CJ59" i="1"/>
  <c r="CX59" i="1"/>
  <c r="CK59" i="1"/>
  <c r="CW59" i="1"/>
  <c r="CL59" i="1"/>
  <c r="CV59" i="1"/>
  <c r="CM59" i="1"/>
  <c r="CU59" i="1"/>
  <c r="ED59" i="1"/>
  <c r="CH60" i="1"/>
  <c r="CZ60" i="1"/>
  <c r="CI60" i="1"/>
  <c r="CY60" i="1"/>
  <c r="CJ60" i="1"/>
  <c r="CX60" i="1"/>
  <c r="CK60" i="1"/>
  <c r="CW60" i="1"/>
  <c r="CL60" i="1"/>
  <c r="CV60" i="1"/>
  <c r="CM60" i="1"/>
  <c r="CU60" i="1"/>
  <c r="DC60" i="1"/>
  <c r="DD60" i="1"/>
  <c r="EE121" i="1"/>
  <c r="DE60" i="1"/>
  <c r="FW206" i="1"/>
  <c r="GQ206" i="1"/>
  <c r="DF60" i="1"/>
  <c r="DG60" i="1"/>
  <c r="DH194" i="1"/>
  <c r="DH60" i="1"/>
  <c r="DI60" i="1"/>
  <c r="DJ194" i="1"/>
  <c r="FB60" i="1"/>
  <c r="FJ60" i="1"/>
  <c r="FK60" i="1"/>
  <c r="FL60" i="1"/>
  <c r="FM60" i="1"/>
  <c r="FN60" i="1"/>
  <c r="FO60" i="1"/>
  <c r="FP60" i="1"/>
  <c r="FQ60" i="1"/>
  <c r="CH61" i="1"/>
  <c r="CZ61" i="1"/>
  <c r="CI61" i="1"/>
  <c r="CY61" i="1"/>
  <c r="CJ61" i="1"/>
  <c r="CX61" i="1"/>
  <c r="CK61" i="1"/>
  <c r="CW61" i="1"/>
  <c r="CL61" i="1"/>
  <c r="CV61" i="1"/>
  <c r="CM61" i="1"/>
  <c r="CU61" i="1"/>
  <c r="FB61" i="1"/>
  <c r="FJ61" i="1"/>
  <c r="FK61" i="1"/>
  <c r="FL61" i="1"/>
  <c r="FM61" i="1"/>
  <c r="FN61" i="1"/>
  <c r="FP61" i="1"/>
  <c r="FQ61" i="1"/>
  <c r="CH62" i="1"/>
  <c r="CZ62" i="1"/>
  <c r="CI62" i="1"/>
  <c r="CY62" i="1"/>
  <c r="CJ62" i="1"/>
  <c r="CX62" i="1"/>
  <c r="CK62" i="1"/>
  <c r="CW62" i="1"/>
  <c r="CL62" i="1"/>
  <c r="CV62" i="1"/>
  <c r="CM62" i="1"/>
  <c r="CU62" i="1"/>
  <c r="FB62" i="1"/>
  <c r="FJ62" i="1"/>
  <c r="FK62" i="1"/>
  <c r="FL62" i="1"/>
  <c r="FM62" i="1"/>
  <c r="FN62" i="1"/>
  <c r="FO62" i="1"/>
  <c r="FP62" i="1"/>
  <c r="FQ62" i="1"/>
  <c r="DL73" i="1"/>
  <c r="EE122" i="1"/>
  <c r="FW211" i="1"/>
  <c r="GQ211" i="1"/>
  <c r="DM88" i="1"/>
  <c r="ED84" i="1"/>
  <c r="ED88" i="1"/>
  <c r="ED83" i="1"/>
  <c r="ED96" i="1"/>
  <c r="DU85" i="1"/>
  <c r="FV131" i="1"/>
  <c r="GR131" i="1"/>
  <c r="EC88" i="1"/>
  <c r="FY68" i="1"/>
  <c r="GO68" i="1"/>
  <c r="FY75" i="1"/>
  <c r="GO75" i="1"/>
  <c r="FY80" i="1"/>
  <c r="FY156" i="1"/>
  <c r="FY162" i="1"/>
  <c r="FY164" i="1"/>
  <c r="FY154" i="1"/>
  <c r="DI63" i="1"/>
  <c r="DC63" i="1"/>
  <c r="DF63" i="1"/>
  <c r="DG63" i="1"/>
  <c r="DH63" i="1"/>
  <c r="DH64" i="1"/>
  <c r="DJ63" i="1"/>
  <c r="FV63" i="1"/>
  <c r="GR63" i="1"/>
  <c r="FW63" i="1"/>
  <c r="GQ63" i="1"/>
  <c r="FX63" i="1"/>
  <c r="GP63" i="1"/>
  <c r="FZ63" i="1"/>
  <c r="GN63" i="1"/>
  <c r="GA63" i="1"/>
  <c r="GM63" i="1"/>
  <c r="GO63" i="1"/>
  <c r="BS64" i="1"/>
  <c r="DK64" i="1"/>
  <c r="DL64" i="1"/>
  <c r="DM64" i="1"/>
  <c r="DN64" i="1"/>
  <c r="DO64" i="1"/>
  <c r="DP64" i="1"/>
  <c r="FV64" i="1"/>
  <c r="GR64" i="1"/>
  <c r="FW64" i="1"/>
  <c r="GQ64" i="1"/>
  <c r="FX64" i="1"/>
  <c r="GP64" i="1"/>
  <c r="FZ64" i="1"/>
  <c r="GN64" i="1"/>
  <c r="GA64" i="1"/>
  <c r="GM64" i="1"/>
  <c r="GO64" i="1"/>
  <c r="BS65" i="1"/>
  <c r="BS66" i="1"/>
  <c r="FV65" i="1"/>
  <c r="GR65" i="1"/>
  <c r="FW65" i="1"/>
  <c r="GQ65" i="1"/>
  <c r="FX65" i="1"/>
  <c r="GP65" i="1"/>
  <c r="FZ65" i="1"/>
  <c r="GN65" i="1"/>
  <c r="GA65" i="1"/>
  <c r="GM65" i="1"/>
  <c r="GO65" i="1"/>
  <c r="BL66" i="1"/>
  <c r="BM66" i="1"/>
  <c r="BN66" i="1"/>
  <c r="BO66" i="1"/>
  <c r="BP66" i="1"/>
  <c r="BQ66" i="1"/>
  <c r="BR66" i="1"/>
  <c r="FV66" i="1"/>
  <c r="GR66" i="1"/>
  <c r="FW66" i="1"/>
  <c r="GQ66" i="1"/>
  <c r="FX66" i="1"/>
  <c r="GP66" i="1"/>
  <c r="FZ66" i="1"/>
  <c r="GN66" i="1"/>
  <c r="GA66" i="1"/>
  <c r="GM66" i="1"/>
  <c r="GO66" i="1"/>
  <c r="BS68" i="1"/>
  <c r="BS69" i="1"/>
  <c r="BS70" i="1"/>
  <c r="FV68" i="1"/>
  <c r="GR68" i="1"/>
  <c r="FX68" i="1"/>
  <c r="GP68" i="1"/>
  <c r="FZ68" i="1"/>
  <c r="GN68" i="1"/>
  <c r="GA68" i="1"/>
  <c r="GM68" i="1"/>
  <c r="DG70" i="1"/>
  <c r="DG69" i="1"/>
  <c r="DH70" i="1"/>
  <c r="DH69" i="1"/>
  <c r="DK70" i="1"/>
  <c r="DK69" i="1"/>
  <c r="DO70" i="1"/>
  <c r="DO69" i="1"/>
  <c r="DM69" i="1"/>
  <c r="DN69" i="1"/>
  <c r="BL70" i="1"/>
  <c r="BM70" i="1"/>
  <c r="BN70" i="1"/>
  <c r="BO70" i="1"/>
  <c r="BP70" i="1"/>
  <c r="BQ70" i="1"/>
  <c r="BR70" i="1"/>
  <c r="DL70" i="1"/>
  <c r="DM70" i="1"/>
  <c r="DN70" i="1"/>
  <c r="FV70" i="1"/>
  <c r="GR70" i="1"/>
  <c r="FW70" i="1"/>
  <c r="GQ70" i="1"/>
  <c r="FX70" i="1"/>
  <c r="GP70" i="1"/>
  <c r="FZ70" i="1"/>
  <c r="GN70" i="1"/>
  <c r="GA70" i="1"/>
  <c r="GM70" i="1"/>
  <c r="GO70" i="1"/>
  <c r="DG71" i="1"/>
  <c r="DH71" i="1"/>
  <c r="DK71" i="1"/>
  <c r="DO71" i="1"/>
  <c r="DL71" i="1"/>
  <c r="DN71" i="1"/>
  <c r="DP71" i="1"/>
  <c r="EU73" i="1"/>
  <c r="FQ73" i="1"/>
  <c r="EU93" i="1"/>
  <c r="FQ93" i="1"/>
  <c r="EV73" i="1"/>
  <c r="FP73" i="1"/>
  <c r="EV81" i="1"/>
  <c r="FP81" i="1"/>
  <c r="EV88" i="1"/>
  <c r="FP88" i="1"/>
  <c r="EV93" i="1"/>
  <c r="FP93" i="1"/>
  <c r="EW73" i="1"/>
  <c r="EW81" i="1"/>
  <c r="FO81" i="1"/>
  <c r="EW88" i="1"/>
  <c r="EW93" i="1"/>
  <c r="FO93" i="1"/>
  <c r="EX73" i="1"/>
  <c r="FN73" i="1"/>
  <c r="EX81" i="1"/>
  <c r="FN81" i="1"/>
  <c r="EX93" i="1"/>
  <c r="FN93" i="1"/>
  <c r="EY73" i="1"/>
  <c r="EY81" i="1"/>
  <c r="EY88" i="1"/>
  <c r="EY93" i="1"/>
  <c r="EY71" i="1"/>
  <c r="FM71" i="1"/>
  <c r="FM88" i="1"/>
  <c r="FM93" i="1"/>
  <c r="EZ73" i="1"/>
  <c r="FL73" i="1"/>
  <c r="EZ81" i="1"/>
  <c r="FL81" i="1"/>
  <c r="EZ88" i="1"/>
  <c r="EZ93" i="1"/>
  <c r="FL93" i="1"/>
  <c r="FA73" i="1"/>
  <c r="FK73" i="1"/>
  <c r="FA81" i="1"/>
  <c r="FK81" i="1"/>
  <c r="FA88" i="1"/>
  <c r="FK88" i="1"/>
  <c r="FA93" i="1"/>
  <c r="FK93" i="1"/>
  <c r="FV71" i="1"/>
  <c r="GR71" i="1"/>
  <c r="FW71" i="1"/>
  <c r="GQ71" i="1"/>
  <c r="FX71" i="1"/>
  <c r="GP71" i="1"/>
  <c r="FZ71" i="1"/>
  <c r="GN71" i="1"/>
  <c r="GA71" i="1"/>
  <c r="GM71" i="1"/>
  <c r="GO71" i="1"/>
  <c r="BS72" i="1"/>
  <c r="DG72" i="1"/>
  <c r="DH72" i="1"/>
  <c r="DK72" i="1"/>
  <c r="DO72" i="1"/>
  <c r="DL72" i="1"/>
  <c r="DM72" i="1"/>
  <c r="DN72" i="1"/>
  <c r="DP72" i="1"/>
  <c r="BS73" i="1"/>
  <c r="DH73" i="1"/>
  <c r="DO73" i="1"/>
  <c r="DN73" i="1"/>
  <c r="DP73" i="1"/>
  <c r="FM73" i="1"/>
  <c r="FV73" i="1"/>
  <c r="GR73" i="1"/>
  <c r="FW73" i="1"/>
  <c r="GQ73" i="1"/>
  <c r="FX73" i="1"/>
  <c r="GP73" i="1"/>
  <c r="FZ73" i="1"/>
  <c r="GN73" i="1"/>
  <c r="GA73" i="1"/>
  <c r="GM73" i="1"/>
  <c r="GO73" i="1"/>
  <c r="BL74" i="1"/>
  <c r="BM74" i="1"/>
  <c r="BN74" i="1"/>
  <c r="BO74" i="1"/>
  <c r="BP74" i="1"/>
  <c r="BQ74" i="1"/>
  <c r="BR74" i="1"/>
  <c r="DH74" i="1"/>
  <c r="DO74" i="1"/>
  <c r="DL74" i="1"/>
  <c r="DM74" i="1"/>
  <c r="DN74" i="1"/>
  <c r="DP74" i="1"/>
  <c r="DH75" i="1"/>
  <c r="DO75" i="1"/>
  <c r="DL75" i="1"/>
  <c r="DM75" i="1"/>
  <c r="DN75" i="1"/>
  <c r="DP75" i="1"/>
  <c r="FB75" i="1"/>
  <c r="FJ75" i="1"/>
  <c r="FK75" i="1"/>
  <c r="FM75" i="1"/>
  <c r="FN75" i="1"/>
  <c r="FO75" i="1"/>
  <c r="FP75" i="1"/>
  <c r="FX75" i="1"/>
  <c r="GP75" i="1"/>
  <c r="FZ75" i="1"/>
  <c r="GN75" i="1"/>
  <c r="GA75" i="1"/>
  <c r="GM75" i="1"/>
  <c r="GR75" i="1"/>
  <c r="BS76" i="1"/>
  <c r="DG76" i="1"/>
  <c r="DH76" i="1"/>
  <c r="DK76" i="1"/>
  <c r="DO76" i="1"/>
  <c r="DL76" i="1"/>
  <c r="DM76" i="1"/>
  <c r="DN76" i="1"/>
  <c r="DP76" i="1"/>
  <c r="FB76" i="1"/>
  <c r="FJ76" i="1"/>
  <c r="FK76" i="1"/>
  <c r="FM76" i="1"/>
  <c r="FN76" i="1"/>
  <c r="FO76" i="1"/>
  <c r="FP76" i="1"/>
  <c r="BS77" i="1"/>
  <c r="BS78" i="1"/>
  <c r="FB77" i="1"/>
  <c r="FJ77" i="1"/>
  <c r="FK77" i="1"/>
  <c r="FL77" i="1"/>
  <c r="FM77" i="1"/>
  <c r="FN77" i="1"/>
  <c r="FO77" i="1"/>
  <c r="FP77" i="1"/>
  <c r="FQ77" i="1"/>
  <c r="FV77" i="1"/>
  <c r="GR77" i="1"/>
  <c r="FW77" i="1"/>
  <c r="GQ77" i="1"/>
  <c r="FX77" i="1"/>
  <c r="GP77" i="1"/>
  <c r="FZ77" i="1"/>
  <c r="GN77" i="1"/>
  <c r="GA77" i="1"/>
  <c r="GM77" i="1"/>
  <c r="GO77" i="1"/>
  <c r="BL78" i="1"/>
  <c r="BM78" i="1"/>
  <c r="BN78" i="1"/>
  <c r="BO78" i="1"/>
  <c r="BP78" i="1"/>
  <c r="BQ78" i="1"/>
  <c r="BR78" i="1"/>
  <c r="FB78" i="1"/>
  <c r="FJ78" i="1"/>
  <c r="FK78" i="1"/>
  <c r="FM78" i="1"/>
  <c r="FN78" i="1"/>
  <c r="FO78" i="1"/>
  <c r="FV78" i="1"/>
  <c r="GR78" i="1"/>
  <c r="FW78" i="1"/>
  <c r="GQ78" i="1"/>
  <c r="FX78" i="1"/>
  <c r="GP78" i="1"/>
  <c r="FZ78" i="1"/>
  <c r="GN78" i="1"/>
  <c r="GA78" i="1"/>
  <c r="GM78" i="1"/>
  <c r="GO78" i="1"/>
  <c r="FB79" i="1"/>
  <c r="FJ79" i="1"/>
  <c r="FK79" i="1"/>
  <c r="FN79" i="1"/>
  <c r="FO79" i="1"/>
  <c r="FW80" i="1"/>
  <c r="GQ80" i="1"/>
  <c r="FX80" i="1"/>
  <c r="GP80" i="1"/>
  <c r="FZ80" i="1"/>
  <c r="GN80" i="1"/>
  <c r="FV82" i="1"/>
  <c r="GR82" i="1"/>
  <c r="FW82" i="1"/>
  <c r="GQ82" i="1"/>
  <c r="FX82" i="1"/>
  <c r="GP82" i="1"/>
  <c r="FZ82" i="1"/>
  <c r="GN82" i="1"/>
  <c r="GA82" i="1"/>
  <c r="GM82" i="1"/>
  <c r="GO82" i="1"/>
  <c r="DM84" i="1"/>
  <c r="DM83" i="1"/>
  <c r="DM92" i="1"/>
  <c r="DN84" i="1"/>
  <c r="DN83" i="1"/>
  <c r="DK84" i="1"/>
  <c r="DK85" i="1"/>
  <c r="DK86" i="1"/>
  <c r="DO84" i="1"/>
  <c r="DV111" i="1"/>
  <c r="DK83" i="1"/>
  <c r="DO87" i="1"/>
  <c r="DO83" i="1"/>
  <c r="DJ87" i="1"/>
  <c r="DO92" i="1"/>
  <c r="DT84" i="1"/>
  <c r="DT83" i="1"/>
  <c r="DX84" i="1"/>
  <c r="DX83" i="1"/>
  <c r="DV83" i="1"/>
  <c r="DV91" i="1"/>
  <c r="DW83" i="1"/>
  <c r="EC84" i="1"/>
  <c r="EC83" i="1"/>
  <c r="EA84" i="1"/>
  <c r="EG84" i="1"/>
  <c r="EG83" i="1"/>
  <c r="EG92" i="1"/>
  <c r="EE83" i="1"/>
  <c r="EE91" i="1"/>
  <c r="EF83" i="1"/>
  <c r="FB83" i="1"/>
  <c r="FJ83" i="1"/>
  <c r="FK83" i="1"/>
  <c r="FL83" i="1"/>
  <c r="FM83" i="1"/>
  <c r="FN83" i="1"/>
  <c r="FO83" i="1"/>
  <c r="FP83" i="1"/>
  <c r="FV83" i="1"/>
  <c r="GR83" i="1"/>
  <c r="FW83" i="1"/>
  <c r="GQ83" i="1"/>
  <c r="FX83" i="1"/>
  <c r="GP83" i="1"/>
  <c r="FZ83" i="1"/>
  <c r="GN83" i="1"/>
  <c r="GA83" i="1"/>
  <c r="GM83" i="1"/>
  <c r="GO83" i="1"/>
  <c r="DV84" i="1"/>
  <c r="DV92" i="1"/>
  <c r="DW84" i="1"/>
  <c r="EE84" i="1"/>
  <c r="EF84" i="1"/>
  <c r="EH84" i="1"/>
  <c r="FB84" i="1"/>
  <c r="FJ84" i="1"/>
  <c r="FK84" i="1"/>
  <c r="FL84" i="1"/>
  <c r="FM84" i="1"/>
  <c r="FN84" i="1"/>
  <c r="FV84" i="1"/>
  <c r="GR84" i="1"/>
  <c r="FW84" i="1"/>
  <c r="GQ84" i="1"/>
  <c r="FX84" i="1"/>
  <c r="GP84" i="1"/>
  <c r="FZ84" i="1"/>
  <c r="GN84" i="1"/>
  <c r="GA84" i="1"/>
  <c r="GM84" i="1"/>
  <c r="GO84" i="1"/>
  <c r="DN85" i="1"/>
  <c r="DO85" i="1"/>
  <c r="DO93" i="1"/>
  <c r="DL85" i="1"/>
  <c r="DP85" i="1"/>
  <c r="DT85" i="1"/>
  <c r="DX85" i="1"/>
  <c r="DW85" i="1"/>
  <c r="DY85" i="1"/>
  <c r="EC85" i="1"/>
  <c r="EC86" i="1"/>
  <c r="EG86" i="1"/>
  <c r="EC92" i="1"/>
  <c r="EG85" i="1"/>
  <c r="EG93" i="1"/>
  <c r="ED85" i="1"/>
  <c r="EF85" i="1"/>
  <c r="EF93" i="1"/>
  <c r="EF103" i="1"/>
  <c r="EH85" i="1"/>
  <c r="DM86" i="1"/>
  <c r="DN86" i="1"/>
  <c r="DO86" i="1"/>
  <c r="DL86" i="1"/>
  <c r="DP86" i="1"/>
  <c r="DT86" i="1"/>
  <c r="DX86" i="1"/>
  <c r="DT92" i="1"/>
  <c r="DU86" i="1"/>
  <c r="DV86" i="1"/>
  <c r="DW86" i="1"/>
  <c r="DY86" i="1"/>
  <c r="EG94" i="1"/>
  <c r="ED86" i="1"/>
  <c r="EE86" i="1"/>
  <c r="EF86" i="1"/>
  <c r="EH86" i="1"/>
  <c r="FB86" i="1"/>
  <c r="FJ86" i="1"/>
  <c r="FK86" i="1"/>
  <c r="FM86" i="1"/>
  <c r="FN86" i="1"/>
  <c r="FO86" i="1"/>
  <c r="FV86" i="1"/>
  <c r="GR86" i="1"/>
  <c r="FW86" i="1"/>
  <c r="GQ86" i="1"/>
  <c r="FX86" i="1"/>
  <c r="GP86" i="1"/>
  <c r="FZ86" i="1"/>
  <c r="GN86" i="1"/>
  <c r="GA86" i="1"/>
  <c r="GM86" i="1"/>
  <c r="GO86" i="1"/>
  <c r="DN87" i="1"/>
  <c r="DL87" i="1"/>
  <c r="DP87" i="1"/>
  <c r="DX87" i="1"/>
  <c r="DX95" i="1"/>
  <c r="DU87" i="1"/>
  <c r="DW87" i="1"/>
  <c r="DW95" i="1"/>
  <c r="DY87" i="1"/>
  <c r="EG87" i="1"/>
  <c r="ED87" i="1"/>
  <c r="EE87" i="1"/>
  <c r="EE95" i="1"/>
  <c r="EF87" i="1"/>
  <c r="DN88" i="1"/>
  <c r="DN96" i="1"/>
  <c r="DO88" i="1"/>
  <c r="DX88" i="1"/>
  <c r="DX96" i="1"/>
  <c r="DU88" i="1"/>
  <c r="DV88" i="1"/>
  <c r="DV96" i="1"/>
  <c r="DW88" i="1"/>
  <c r="EG88" i="1"/>
  <c r="EG96" i="1"/>
  <c r="EE88" i="1"/>
  <c r="EF88" i="1"/>
  <c r="FL88" i="1"/>
  <c r="FV88" i="1"/>
  <c r="GR88" i="1"/>
  <c r="FW88" i="1"/>
  <c r="GQ88" i="1"/>
  <c r="FX88" i="1"/>
  <c r="GP88" i="1"/>
  <c r="FZ88" i="1"/>
  <c r="GN88" i="1"/>
  <c r="GA88" i="1"/>
  <c r="GM88" i="1"/>
  <c r="GO88" i="1"/>
  <c r="DM89" i="1"/>
  <c r="DN89" i="1"/>
  <c r="DN97" i="1"/>
  <c r="DO89" i="1"/>
  <c r="DL89" i="1"/>
  <c r="DP89" i="1"/>
  <c r="DX89" i="1"/>
  <c r="DU89" i="1"/>
  <c r="DV89" i="1"/>
  <c r="DV97" i="1"/>
  <c r="DW89" i="1"/>
  <c r="DW97" i="1"/>
  <c r="DY89" i="1"/>
  <c r="EG89" i="1"/>
  <c r="EG97" i="1"/>
  <c r="ED89" i="1"/>
  <c r="EE89" i="1"/>
  <c r="EF89" i="1"/>
  <c r="EH89" i="1"/>
  <c r="CH90" i="1"/>
  <c r="CZ90" i="1"/>
  <c r="CI90" i="1"/>
  <c r="CI113" i="1"/>
  <c r="CJ90" i="1"/>
  <c r="CJ112" i="1"/>
  <c r="CX112" i="1"/>
  <c r="CK90" i="1"/>
  <c r="CL90" i="1"/>
  <c r="DM90" i="1"/>
  <c r="DH90" i="1"/>
  <c r="DN90" i="1"/>
  <c r="DI90" i="1"/>
  <c r="DK90" i="1"/>
  <c r="DO90" i="1"/>
  <c r="DL90" i="1"/>
  <c r="DP90" i="1"/>
  <c r="DT90" i="1"/>
  <c r="DX90" i="1"/>
  <c r="DU90" i="1"/>
  <c r="DV90" i="1"/>
  <c r="DW90" i="1"/>
  <c r="DY90" i="1"/>
  <c r="EG90" i="1"/>
  <c r="ED90" i="1"/>
  <c r="EE90" i="1"/>
  <c r="EF90" i="1"/>
  <c r="EH90" i="1"/>
  <c r="FB90" i="1"/>
  <c r="FJ90" i="1"/>
  <c r="FK90" i="1"/>
  <c r="FL90" i="1"/>
  <c r="FM90" i="1"/>
  <c r="FP90" i="1"/>
  <c r="CM91" i="1"/>
  <c r="CV91" i="1"/>
  <c r="CW91" i="1"/>
  <c r="CX91" i="1"/>
  <c r="CY91" i="1"/>
  <c r="CZ91" i="1"/>
  <c r="FB91" i="1"/>
  <c r="FJ91" i="1"/>
  <c r="FK91" i="1"/>
  <c r="FM91" i="1"/>
  <c r="FO91" i="1"/>
  <c r="FP91" i="1"/>
  <c r="CM92" i="1"/>
  <c r="CV92" i="1"/>
  <c r="CW92" i="1"/>
  <c r="CX92" i="1"/>
  <c r="CY92" i="1"/>
  <c r="CZ92" i="1"/>
  <c r="CM93" i="1"/>
  <c r="CH103" i="1"/>
  <c r="CZ103" i="1"/>
  <c r="CV93" i="1"/>
  <c r="CW93" i="1"/>
  <c r="CX93" i="1"/>
  <c r="CY93" i="1"/>
  <c r="CZ93" i="1"/>
  <c r="CM94" i="1"/>
  <c r="CV94" i="1"/>
  <c r="CW94" i="1"/>
  <c r="CX94" i="1"/>
  <c r="CY94" i="1"/>
  <c r="CZ94" i="1"/>
  <c r="CM95" i="1"/>
  <c r="CV95" i="1"/>
  <c r="CW95" i="1"/>
  <c r="CX95" i="1"/>
  <c r="CY95" i="1"/>
  <c r="CZ95" i="1"/>
  <c r="FB95" i="1"/>
  <c r="FJ95" i="1"/>
  <c r="FK95" i="1"/>
  <c r="FL95" i="1"/>
  <c r="FM95" i="1"/>
  <c r="FN95" i="1"/>
  <c r="FO95" i="1"/>
  <c r="FP95" i="1"/>
  <c r="FQ95" i="1"/>
  <c r="CM96" i="1"/>
  <c r="CK106" i="1"/>
  <c r="CW106" i="1"/>
  <c r="CV96" i="1"/>
  <c r="CW96" i="1"/>
  <c r="CX96" i="1"/>
  <c r="CY96" i="1"/>
  <c r="CZ96" i="1"/>
  <c r="FB96" i="1"/>
  <c r="FJ96" i="1"/>
  <c r="FK96" i="1"/>
  <c r="FL96" i="1"/>
  <c r="FM96" i="1"/>
  <c r="FN96" i="1"/>
  <c r="FP96" i="1"/>
  <c r="FQ96" i="1"/>
  <c r="CM97" i="1"/>
  <c r="CV97" i="1"/>
  <c r="CW97" i="1"/>
  <c r="CX97" i="1"/>
  <c r="CY97" i="1"/>
  <c r="CZ97" i="1"/>
  <c r="FB97" i="1"/>
  <c r="FJ97" i="1"/>
  <c r="FK97" i="1"/>
  <c r="FL97" i="1"/>
  <c r="FM97" i="1"/>
  <c r="FN97" i="1"/>
  <c r="FO97" i="1"/>
  <c r="FP97" i="1"/>
  <c r="FQ97" i="1"/>
  <c r="FB99" i="1"/>
  <c r="FJ99" i="1"/>
  <c r="FK99" i="1"/>
  <c r="FB101" i="1"/>
  <c r="FJ101" i="1"/>
  <c r="FL101" i="1"/>
  <c r="FM101" i="1"/>
  <c r="FP101" i="1"/>
  <c r="DP112" i="1"/>
  <c r="DV104" i="1"/>
  <c r="DP109" i="1"/>
  <c r="DP108" i="1"/>
  <c r="DP107" i="1"/>
  <c r="DP115" i="1"/>
  <c r="DP135" i="1"/>
  <c r="DO112" i="1"/>
  <c r="DV105" i="1"/>
  <c r="DS105" i="1"/>
  <c r="DO109" i="1"/>
  <c r="DO108" i="1"/>
  <c r="DO107" i="1"/>
  <c r="DN112" i="1"/>
  <c r="DV106" i="1"/>
  <c r="DN109" i="1"/>
  <c r="CV107" i="1"/>
  <c r="CW107" i="1"/>
  <c r="CZ107" i="1"/>
  <c r="DG109" i="1"/>
  <c r="DG108" i="1"/>
  <c r="DG107" i="1"/>
  <c r="DH109" i="1"/>
  <c r="DI109" i="1"/>
  <c r="DJ109" i="1"/>
  <c r="DJ108" i="1"/>
  <c r="DK109" i="1"/>
  <c r="DK108" i="1"/>
  <c r="DL109" i="1"/>
  <c r="DL108" i="1"/>
  <c r="DM109" i="1"/>
  <c r="DM108" i="1"/>
  <c r="DM107" i="1"/>
  <c r="DM128" i="1"/>
  <c r="DM127" i="1"/>
  <c r="DM112" i="1"/>
  <c r="DV107" i="1"/>
  <c r="DV108" i="1"/>
  <c r="DK112" i="1"/>
  <c r="DV109" i="1"/>
  <c r="DT109" i="1"/>
  <c r="FW109" i="1"/>
  <c r="GQ109" i="1"/>
  <c r="FX109" i="1"/>
  <c r="GP109" i="1"/>
  <c r="FY111" i="1"/>
  <c r="GO111" i="1"/>
  <c r="FY119" i="1"/>
  <c r="FY126" i="1"/>
  <c r="GO126" i="1"/>
  <c r="FY131" i="1"/>
  <c r="FZ109" i="1"/>
  <c r="GN109" i="1"/>
  <c r="CL116" i="1"/>
  <c r="CV116" i="1"/>
  <c r="DG110" i="1"/>
  <c r="DH110" i="1"/>
  <c r="DI110" i="1"/>
  <c r="DJ110" i="1"/>
  <c r="DK110" i="1"/>
  <c r="DL110" i="1"/>
  <c r="DM110" i="1"/>
  <c r="DN110" i="1"/>
  <c r="DO110" i="1"/>
  <c r="DP110" i="1"/>
  <c r="DJ112" i="1"/>
  <c r="DV110" i="1"/>
  <c r="DT110" i="1"/>
  <c r="DG111" i="1"/>
  <c r="DH111" i="1"/>
  <c r="DO232" i="1"/>
  <c r="DI111" i="1"/>
  <c r="DJ111" i="1"/>
  <c r="DK111" i="1"/>
  <c r="DL111" i="1"/>
  <c r="DM111" i="1"/>
  <c r="DN111" i="1"/>
  <c r="DO111" i="1"/>
  <c r="DP111" i="1"/>
  <c r="FW111" i="1"/>
  <c r="GQ111" i="1"/>
  <c r="FX111" i="1"/>
  <c r="GP111" i="1"/>
  <c r="FZ111" i="1"/>
  <c r="GN111" i="1"/>
  <c r="DG112" i="1"/>
  <c r="DH112" i="1"/>
  <c r="DO236" i="1"/>
  <c r="DI112" i="1"/>
  <c r="DL112" i="1"/>
  <c r="DV112" i="1"/>
  <c r="DG113" i="1"/>
  <c r="DH113" i="1"/>
  <c r="DO237" i="1"/>
  <c r="DI113" i="1"/>
  <c r="DJ113" i="1"/>
  <c r="DK113" i="1"/>
  <c r="DL113" i="1"/>
  <c r="DM113" i="1"/>
  <c r="DN113" i="1"/>
  <c r="DO113" i="1"/>
  <c r="DP113" i="1"/>
  <c r="DV113" i="1"/>
  <c r="FV113" i="1"/>
  <c r="GR113" i="1"/>
  <c r="FW113" i="1"/>
  <c r="GQ113" i="1"/>
  <c r="FX113" i="1"/>
  <c r="GP113" i="1"/>
  <c r="FZ113" i="1"/>
  <c r="GN113" i="1"/>
  <c r="GA113" i="1"/>
  <c r="GM113" i="1"/>
  <c r="GO113" i="1"/>
  <c r="DG114" i="1"/>
  <c r="DH114" i="1"/>
  <c r="DI114" i="1"/>
  <c r="DJ114" i="1"/>
  <c r="DK114" i="1"/>
  <c r="DL114" i="1"/>
  <c r="DM114" i="1"/>
  <c r="DN114" i="1"/>
  <c r="DO114" i="1"/>
  <c r="DP114" i="1"/>
  <c r="DT114" i="1"/>
  <c r="FV114" i="1"/>
  <c r="GR114" i="1"/>
  <c r="FW114" i="1"/>
  <c r="GQ114" i="1"/>
  <c r="FX114" i="1"/>
  <c r="GP114" i="1"/>
  <c r="FZ114" i="1"/>
  <c r="GN114" i="1"/>
  <c r="GA114" i="1"/>
  <c r="GM114" i="1"/>
  <c r="GO114" i="1"/>
  <c r="DG115" i="1"/>
  <c r="DH115" i="1"/>
  <c r="DO240" i="1"/>
  <c r="DI115" i="1"/>
  <c r="DJ115" i="1"/>
  <c r="DK115" i="1"/>
  <c r="DL115" i="1"/>
  <c r="DM115" i="1"/>
  <c r="DN115" i="1"/>
  <c r="DO115" i="1"/>
  <c r="FV115" i="1"/>
  <c r="GR115" i="1"/>
  <c r="FW115" i="1"/>
  <c r="GQ115" i="1"/>
  <c r="FX115" i="1"/>
  <c r="GP115" i="1"/>
  <c r="FZ115" i="1"/>
  <c r="GN115" i="1"/>
  <c r="GA115" i="1"/>
  <c r="GM115" i="1"/>
  <c r="GO115" i="1"/>
  <c r="FV116" i="1"/>
  <c r="GR116" i="1"/>
  <c r="FW116" i="1"/>
  <c r="GQ116" i="1"/>
  <c r="FX116" i="1"/>
  <c r="GP116" i="1"/>
  <c r="FZ116" i="1"/>
  <c r="GN116" i="1"/>
  <c r="GA116" i="1"/>
  <c r="GM116" i="1"/>
  <c r="GO116" i="1"/>
  <c r="CV117" i="1"/>
  <c r="CW117" i="1"/>
  <c r="CZ117" i="1"/>
  <c r="EC118" i="1"/>
  <c r="EC117" i="1"/>
  <c r="EG118" i="1"/>
  <c r="EG117" i="1"/>
  <c r="EE117" i="1"/>
  <c r="EF117" i="1"/>
  <c r="FV117" i="1"/>
  <c r="GR117" i="1"/>
  <c r="FW117" i="1"/>
  <c r="GQ117" i="1"/>
  <c r="FX117" i="1"/>
  <c r="GP117" i="1"/>
  <c r="FZ117" i="1"/>
  <c r="GN117" i="1"/>
  <c r="GA117" i="1"/>
  <c r="GM117" i="1"/>
  <c r="GO117" i="1"/>
  <c r="ED118" i="1"/>
  <c r="ED117" i="1"/>
  <c r="ED126" i="1"/>
  <c r="EE118" i="1"/>
  <c r="EE126" i="1"/>
  <c r="EG136" i="1"/>
  <c r="EG142" i="1"/>
  <c r="EF118" i="1"/>
  <c r="EC119" i="1"/>
  <c r="EG119" i="1"/>
  <c r="EB119" i="1"/>
  <c r="EE137" i="1"/>
  <c r="ED119" i="1"/>
  <c r="EF119" i="1"/>
  <c r="EF127" i="1"/>
  <c r="EH119" i="1"/>
  <c r="FX119" i="1"/>
  <c r="GP119" i="1"/>
  <c r="FZ119" i="1"/>
  <c r="GN119" i="1"/>
  <c r="GA119" i="1"/>
  <c r="GM119" i="1"/>
  <c r="EC120" i="1"/>
  <c r="EG120" i="1"/>
  <c r="EB120" i="1"/>
  <c r="EE138" i="1"/>
  <c r="ED120" i="1"/>
  <c r="EE120" i="1"/>
  <c r="EF120" i="1"/>
  <c r="EF128" i="1"/>
  <c r="EF138" i="1"/>
  <c r="EH120" i="1"/>
  <c r="EG121" i="1"/>
  <c r="ED121" i="1"/>
  <c r="EF121" i="1"/>
  <c r="EF129" i="1"/>
  <c r="EF139" i="1"/>
  <c r="EH121" i="1"/>
  <c r="FV121" i="1"/>
  <c r="GR121" i="1"/>
  <c r="FW121" i="1"/>
  <c r="GQ121" i="1"/>
  <c r="FX121" i="1"/>
  <c r="GP121" i="1"/>
  <c r="FZ121" i="1"/>
  <c r="GN121" i="1"/>
  <c r="GA121" i="1"/>
  <c r="GM121" i="1"/>
  <c r="GO121" i="1"/>
  <c r="EC122" i="1"/>
  <c r="EC124" i="1"/>
  <c r="EG124" i="1"/>
  <c r="EG132" i="1"/>
  <c r="EG122" i="1"/>
  <c r="ED122" i="1"/>
  <c r="EF122" i="1"/>
  <c r="EH122" i="1"/>
  <c r="EH130" i="1"/>
  <c r="FV122" i="1"/>
  <c r="GR122" i="1"/>
  <c r="FW122" i="1"/>
  <c r="FX122" i="1"/>
  <c r="GP122" i="1"/>
  <c r="FZ122" i="1"/>
  <c r="GN122" i="1"/>
  <c r="GA122" i="1"/>
  <c r="GM122" i="1"/>
  <c r="GO122" i="1"/>
  <c r="GQ122" i="1"/>
  <c r="EG123" i="1"/>
  <c r="ED123" i="1"/>
  <c r="EE123" i="1"/>
  <c r="EE131" i="1"/>
  <c r="EF123" i="1"/>
  <c r="EH123" i="1"/>
  <c r="ED124" i="1"/>
  <c r="EE124" i="1"/>
  <c r="EE132" i="1"/>
  <c r="EG141" i="1"/>
  <c r="EF124" i="1"/>
  <c r="EH124" i="1"/>
  <c r="FV124" i="1"/>
  <c r="GR124" i="1"/>
  <c r="FW124" i="1"/>
  <c r="GQ124" i="1"/>
  <c r="FX124" i="1"/>
  <c r="GP124" i="1"/>
  <c r="FZ124" i="1"/>
  <c r="GN124" i="1"/>
  <c r="GA124" i="1"/>
  <c r="GM124" i="1"/>
  <c r="GO124" i="1"/>
  <c r="FX126" i="1"/>
  <c r="GP126" i="1"/>
  <c r="FZ126" i="1"/>
  <c r="GN126" i="1"/>
  <c r="GR126" i="1"/>
  <c r="EC128" i="1"/>
  <c r="FV128" i="1"/>
  <c r="GR128" i="1"/>
  <c r="FW128" i="1"/>
  <c r="GQ128" i="1"/>
  <c r="FX128" i="1"/>
  <c r="GP128" i="1"/>
  <c r="FZ128" i="1"/>
  <c r="GN128" i="1"/>
  <c r="GA128" i="1"/>
  <c r="GM128" i="1"/>
  <c r="GO128" i="1"/>
  <c r="FV129" i="1"/>
  <c r="GR129" i="1"/>
  <c r="FW129" i="1"/>
  <c r="GQ129" i="1"/>
  <c r="FX129" i="1"/>
  <c r="GP129" i="1"/>
  <c r="FZ129" i="1"/>
  <c r="GN129" i="1"/>
  <c r="GA129" i="1"/>
  <c r="GM129" i="1"/>
  <c r="GO129" i="1"/>
  <c r="EU133" i="1"/>
  <c r="EU153" i="1"/>
  <c r="FQ153" i="1"/>
  <c r="EV133" i="1"/>
  <c r="EV141" i="1"/>
  <c r="EV148" i="1"/>
  <c r="FP148" i="1"/>
  <c r="EV153" i="1"/>
  <c r="FP153" i="1"/>
  <c r="EW133" i="1"/>
  <c r="EW141" i="1"/>
  <c r="FO141" i="1"/>
  <c r="EW148" i="1"/>
  <c r="FO148" i="1"/>
  <c r="EW153" i="1"/>
  <c r="FO153" i="1"/>
  <c r="EX133" i="1"/>
  <c r="FN133" i="1"/>
  <c r="EX141" i="1"/>
  <c r="FN141" i="1"/>
  <c r="EX153" i="1"/>
  <c r="FN153" i="1"/>
  <c r="EY133" i="1"/>
  <c r="FM133" i="1"/>
  <c r="EY141" i="1"/>
  <c r="EY148" i="1"/>
  <c r="FM148" i="1"/>
  <c r="EY153" i="1"/>
  <c r="FM153" i="1"/>
  <c r="EZ133" i="1"/>
  <c r="EZ141" i="1"/>
  <c r="FL141" i="1"/>
  <c r="EZ148" i="1"/>
  <c r="EZ153" i="1"/>
  <c r="FL153" i="1"/>
  <c r="FA133" i="1"/>
  <c r="FA141" i="1"/>
  <c r="FK141" i="1"/>
  <c r="FA148" i="1"/>
  <c r="FK148" i="1"/>
  <c r="FA153" i="1"/>
  <c r="FK153" i="1"/>
  <c r="FW131" i="1"/>
  <c r="GQ131" i="1"/>
  <c r="FX131" i="1"/>
  <c r="GP131" i="1"/>
  <c r="FZ131" i="1"/>
  <c r="GN131" i="1"/>
  <c r="FK133" i="1"/>
  <c r="FV133" i="1"/>
  <c r="GR133" i="1"/>
  <c r="FW133" i="1"/>
  <c r="GQ133" i="1"/>
  <c r="FX133" i="1"/>
  <c r="GP133" i="1"/>
  <c r="FZ133" i="1"/>
  <c r="GN133" i="1"/>
  <c r="GA133" i="1"/>
  <c r="GM133" i="1"/>
  <c r="GO133" i="1"/>
  <c r="FV134" i="1"/>
  <c r="GR134" i="1"/>
  <c r="FW134" i="1"/>
  <c r="GQ134" i="1"/>
  <c r="FX134" i="1"/>
  <c r="GP134" i="1"/>
  <c r="FZ134" i="1"/>
  <c r="GN134" i="1"/>
  <c r="GA134" i="1"/>
  <c r="GM134" i="1"/>
  <c r="GO134" i="1"/>
  <c r="FB135" i="1"/>
  <c r="FJ135" i="1"/>
  <c r="FK135" i="1"/>
  <c r="FM135" i="1"/>
  <c r="FN135" i="1"/>
  <c r="FO135" i="1"/>
  <c r="FP135" i="1"/>
  <c r="FV135" i="1"/>
  <c r="GR135" i="1"/>
  <c r="FW135" i="1"/>
  <c r="GQ135" i="1"/>
  <c r="FX135" i="1"/>
  <c r="GP135" i="1"/>
  <c r="FZ135" i="1"/>
  <c r="GN135" i="1"/>
  <c r="GA135" i="1"/>
  <c r="GM135" i="1"/>
  <c r="GO135" i="1"/>
  <c r="FB136" i="1"/>
  <c r="FJ136" i="1"/>
  <c r="FK136" i="1"/>
  <c r="FM136" i="1"/>
  <c r="FN136" i="1"/>
  <c r="FO136" i="1"/>
  <c r="FP136" i="1"/>
  <c r="FB137" i="1"/>
  <c r="FJ137" i="1"/>
  <c r="FK137" i="1"/>
  <c r="FL137" i="1"/>
  <c r="FM137" i="1"/>
  <c r="FN137" i="1"/>
  <c r="FO137" i="1"/>
  <c r="FP137" i="1"/>
  <c r="FQ137" i="1"/>
  <c r="FV137" i="1"/>
  <c r="GR137" i="1"/>
  <c r="FW137" i="1"/>
  <c r="GQ137" i="1"/>
  <c r="FX137" i="1"/>
  <c r="GP137" i="1"/>
  <c r="FZ137" i="1"/>
  <c r="GN137" i="1"/>
  <c r="GA137" i="1"/>
  <c r="GM137" i="1"/>
  <c r="GO137" i="1"/>
  <c r="FB138" i="1"/>
  <c r="FJ138" i="1"/>
  <c r="FK138" i="1"/>
  <c r="FM138" i="1"/>
  <c r="FN138" i="1"/>
  <c r="FO138" i="1"/>
  <c r="FB139" i="1"/>
  <c r="FJ139" i="1"/>
  <c r="FK139" i="1"/>
  <c r="FN139" i="1"/>
  <c r="FO139" i="1"/>
  <c r="FV139" i="1"/>
  <c r="GR139" i="1"/>
  <c r="FW139" i="1"/>
  <c r="GQ139" i="1"/>
  <c r="FX139" i="1"/>
  <c r="GP139" i="1"/>
  <c r="FZ139" i="1"/>
  <c r="GN139" i="1"/>
  <c r="GA139" i="1"/>
  <c r="GM139" i="1"/>
  <c r="GO139" i="1"/>
  <c r="FB143" i="1"/>
  <c r="FJ143" i="1"/>
  <c r="FK143" i="1"/>
  <c r="FL143" i="1"/>
  <c r="FM143" i="1"/>
  <c r="FN143" i="1"/>
  <c r="FO143" i="1"/>
  <c r="FP143" i="1"/>
  <c r="FB144" i="1"/>
  <c r="FJ144" i="1"/>
  <c r="FK144" i="1"/>
  <c r="FL144" i="1"/>
  <c r="FM144" i="1"/>
  <c r="FN144" i="1"/>
  <c r="FB146" i="1"/>
  <c r="FJ146" i="1"/>
  <c r="FK146" i="1"/>
  <c r="FM146" i="1"/>
  <c r="FN146" i="1"/>
  <c r="FO146" i="1"/>
  <c r="DH149" i="1"/>
  <c r="DH148" i="1"/>
  <c r="DH147" i="1"/>
  <c r="DI149" i="1"/>
  <c r="DI148" i="1"/>
  <c r="DI150" i="1"/>
  <c r="DJ149" i="1"/>
  <c r="DJ148" i="1"/>
  <c r="DJ147" i="1"/>
  <c r="DK149" i="1"/>
  <c r="DL149" i="1"/>
  <c r="DL148" i="1"/>
  <c r="DL147" i="1"/>
  <c r="DL150" i="1"/>
  <c r="DL170" i="1"/>
  <c r="DM149" i="1"/>
  <c r="DN149" i="1"/>
  <c r="DO149" i="1"/>
  <c r="DP149" i="1"/>
  <c r="DP148" i="1"/>
  <c r="DP147" i="1"/>
  <c r="DH150" i="1"/>
  <c r="DH170" i="1"/>
  <c r="DJ150" i="1"/>
  <c r="DK150" i="1"/>
  <c r="DM150" i="1"/>
  <c r="DN150" i="1"/>
  <c r="DO150" i="1"/>
  <c r="DP150" i="1"/>
  <c r="FB150" i="1"/>
  <c r="FJ150" i="1"/>
  <c r="FK150" i="1"/>
  <c r="FL150" i="1"/>
  <c r="FM150" i="1"/>
  <c r="FP150" i="1"/>
  <c r="CH151" i="1"/>
  <c r="CI151" i="1"/>
  <c r="CI177" i="1"/>
  <c r="CY177" i="1"/>
  <c r="CJ151" i="1"/>
  <c r="CK151" i="1"/>
  <c r="CK175" i="1"/>
  <c r="CW175" i="1"/>
  <c r="CL151" i="1"/>
  <c r="CL174" i="1"/>
  <c r="CV174" i="1"/>
  <c r="DH151" i="1"/>
  <c r="DN232" i="1"/>
  <c r="DH191" i="1"/>
  <c r="DM232" i="1"/>
  <c r="DI151" i="1"/>
  <c r="DJ151" i="1"/>
  <c r="DK151" i="1"/>
  <c r="DL151" i="1"/>
  <c r="DM151" i="1"/>
  <c r="DN151" i="1"/>
  <c r="DO151" i="1"/>
  <c r="DP151" i="1"/>
  <c r="FB151" i="1"/>
  <c r="FJ151" i="1"/>
  <c r="FK151" i="1"/>
  <c r="FM151" i="1"/>
  <c r="FO151" i="1"/>
  <c r="FP151" i="1"/>
  <c r="CV152" i="1"/>
  <c r="CW152" i="1"/>
  <c r="CX152" i="1"/>
  <c r="CY152" i="1"/>
  <c r="CZ152" i="1"/>
  <c r="DH152" i="1"/>
  <c r="DN236" i="1"/>
  <c r="DI152" i="1"/>
  <c r="DJ152" i="1"/>
  <c r="DK152" i="1"/>
  <c r="DL152" i="1"/>
  <c r="DM152" i="1"/>
  <c r="DN152" i="1"/>
  <c r="DO152" i="1"/>
  <c r="DP152" i="1"/>
  <c r="DP172" i="1"/>
  <c r="FW169" i="1"/>
  <c r="FW168" i="1"/>
  <c r="FY211" i="1"/>
  <c r="FW156" i="1"/>
  <c r="FW162" i="1"/>
  <c r="FW164" i="1"/>
  <c r="FW154" i="1"/>
  <c r="FX169" i="1"/>
  <c r="FX168" i="1"/>
  <c r="FX162" i="1"/>
  <c r="FX164" i="1"/>
  <c r="FY169" i="1"/>
  <c r="FY168" i="1"/>
  <c r="FZ169" i="1"/>
  <c r="FZ168" i="1"/>
  <c r="FZ156" i="1"/>
  <c r="FZ162" i="1"/>
  <c r="GA169" i="1"/>
  <c r="GA168" i="1"/>
  <c r="GA156" i="1"/>
  <c r="GA162" i="1"/>
  <c r="GA164" i="1"/>
  <c r="GA154" i="1"/>
  <c r="CU153" i="1"/>
  <c r="CV153" i="1"/>
  <c r="CW153" i="1"/>
  <c r="CX153" i="1"/>
  <c r="CY153" i="1"/>
  <c r="CZ153" i="1"/>
  <c r="DH153" i="1"/>
  <c r="DI153" i="1"/>
  <c r="DJ153" i="1"/>
  <c r="DK153" i="1"/>
  <c r="DL153" i="1"/>
  <c r="DM153" i="1"/>
  <c r="DN153" i="1"/>
  <c r="DO153" i="1"/>
  <c r="DP153" i="1"/>
  <c r="CV154" i="1"/>
  <c r="CW154" i="1"/>
  <c r="CX154" i="1"/>
  <c r="CY154" i="1"/>
  <c r="CZ154" i="1"/>
  <c r="DH154" i="1"/>
  <c r="DI154" i="1"/>
  <c r="DJ154" i="1"/>
  <c r="DK154" i="1"/>
  <c r="DL154" i="1"/>
  <c r="DM154" i="1"/>
  <c r="DN154" i="1"/>
  <c r="DO154" i="1"/>
  <c r="DP154" i="1"/>
  <c r="DP174" i="1"/>
  <c r="CU155" i="1"/>
  <c r="CV155" i="1"/>
  <c r="CW155" i="1"/>
  <c r="CX155" i="1"/>
  <c r="CY155" i="1"/>
  <c r="CZ155" i="1"/>
  <c r="DH155" i="1"/>
  <c r="DI155" i="1"/>
  <c r="DJ155" i="1"/>
  <c r="DK155" i="1"/>
  <c r="DL155" i="1"/>
  <c r="DM155" i="1"/>
  <c r="DN155" i="1"/>
  <c r="DO155" i="1"/>
  <c r="DP155" i="1"/>
  <c r="FB155" i="1"/>
  <c r="FJ155" i="1"/>
  <c r="FK155" i="1"/>
  <c r="FL155" i="1"/>
  <c r="FM155" i="1"/>
  <c r="FN155" i="1"/>
  <c r="FO155" i="1"/>
  <c r="FP155" i="1"/>
  <c r="FQ155" i="1"/>
  <c r="CV156" i="1"/>
  <c r="CW156" i="1"/>
  <c r="CX156" i="1"/>
  <c r="CY156" i="1"/>
  <c r="CZ156" i="1"/>
  <c r="FB156" i="1"/>
  <c r="FJ156" i="1"/>
  <c r="FK156" i="1"/>
  <c r="FL156" i="1"/>
  <c r="FM156" i="1"/>
  <c r="FN156" i="1"/>
  <c r="FP156" i="1"/>
  <c r="FQ156" i="1"/>
  <c r="CU157" i="1"/>
  <c r="CV157" i="1"/>
  <c r="CW157" i="1"/>
  <c r="CX157" i="1"/>
  <c r="CY157" i="1"/>
  <c r="CZ157" i="1"/>
  <c r="FB157" i="1"/>
  <c r="FJ157" i="1"/>
  <c r="FK157" i="1"/>
  <c r="FL157" i="1"/>
  <c r="FM157" i="1"/>
  <c r="FN157" i="1"/>
  <c r="FO157" i="1"/>
  <c r="FP157" i="1"/>
  <c r="FQ157" i="1"/>
  <c r="CM158" i="1"/>
  <c r="CJ168" i="1"/>
  <c r="CX168" i="1"/>
  <c r="CV158" i="1"/>
  <c r="CW158" i="1"/>
  <c r="CX158" i="1"/>
  <c r="CY158" i="1"/>
  <c r="CZ158" i="1"/>
  <c r="FW158" i="1"/>
  <c r="FX158" i="1"/>
  <c r="FY158" i="1"/>
  <c r="FZ158" i="1"/>
  <c r="GA158" i="1"/>
  <c r="FB159" i="1"/>
  <c r="FJ159" i="1"/>
  <c r="FK159" i="1"/>
  <c r="FW159" i="1"/>
  <c r="FX159" i="1"/>
  <c r="FY159" i="1"/>
  <c r="FZ159" i="1"/>
  <c r="GA159" i="1"/>
  <c r="FW160" i="1"/>
  <c r="FX160" i="1"/>
  <c r="FY160" i="1"/>
  <c r="FZ160" i="1"/>
  <c r="GA160" i="1"/>
  <c r="FB161" i="1"/>
  <c r="FJ161" i="1"/>
  <c r="FL161" i="1"/>
  <c r="FM161" i="1"/>
  <c r="FP161" i="1"/>
  <c r="CI163" i="1"/>
  <c r="CY163" i="1"/>
  <c r="CL163" i="1"/>
  <c r="CH165" i="1"/>
  <c r="CZ165" i="1"/>
  <c r="CI165" i="1"/>
  <c r="CY165" i="1"/>
  <c r="CJ165" i="1"/>
  <c r="CX165" i="1"/>
  <c r="CK165" i="1"/>
  <c r="CW165" i="1"/>
  <c r="CL165" i="1"/>
  <c r="CV165" i="1"/>
  <c r="FW165" i="1"/>
  <c r="CH166" i="1"/>
  <c r="CI166" i="1"/>
  <c r="CY166" i="1"/>
  <c r="CJ166" i="1"/>
  <c r="CX166" i="1"/>
  <c r="CK166" i="1"/>
  <c r="CW166" i="1"/>
  <c r="CL166" i="1"/>
  <c r="CZ166" i="1"/>
  <c r="CH167" i="1"/>
  <c r="CZ167" i="1"/>
  <c r="CI167" i="1"/>
  <c r="CY167" i="1"/>
  <c r="CJ167" i="1"/>
  <c r="CX167" i="1"/>
  <c r="CK167" i="1"/>
  <c r="CW167" i="1"/>
  <c r="CL167" i="1"/>
  <c r="CV167" i="1"/>
  <c r="CV168" i="1"/>
  <c r="CW168" i="1"/>
  <c r="CZ168" i="1"/>
  <c r="FW170" i="1"/>
  <c r="CL172" i="1"/>
  <c r="CV172" i="1"/>
  <c r="CL173" i="1"/>
  <c r="CV173" i="1"/>
  <c r="CL176" i="1"/>
  <c r="CV176" i="1"/>
  <c r="CL177" i="1"/>
  <c r="CV177" i="1"/>
  <c r="FK172" i="1"/>
  <c r="FL172" i="1"/>
  <c r="FM172" i="1"/>
  <c r="FK173" i="1"/>
  <c r="FM173" i="1"/>
  <c r="FN173" i="1"/>
  <c r="FK174" i="1"/>
  <c r="FM174" i="1"/>
  <c r="FN174" i="1"/>
  <c r="FK175" i="1"/>
  <c r="FM175" i="1"/>
  <c r="FN175" i="1"/>
  <c r="FK179" i="1"/>
  <c r="FM179" i="1"/>
  <c r="FN179" i="1"/>
  <c r="FK180" i="1"/>
  <c r="FM180" i="1"/>
  <c r="FN180" i="1"/>
  <c r="FW173" i="1"/>
  <c r="FX173" i="1"/>
  <c r="FX172" i="1"/>
  <c r="FY173" i="1"/>
  <c r="FY172" i="1"/>
  <c r="FZ173" i="1"/>
  <c r="FZ172" i="1"/>
  <c r="GA173" i="1"/>
  <c r="FN176" i="1"/>
  <c r="FN177" i="1"/>
  <c r="CV178" i="1"/>
  <c r="CW178" i="1"/>
  <c r="CZ178" i="1"/>
  <c r="FN178" i="1"/>
  <c r="DH189" i="1"/>
  <c r="DM228" i="1"/>
  <c r="DI189" i="1"/>
  <c r="DI188" i="1"/>
  <c r="DI187" i="1"/>
  <c r="DJ189" i="1"/>
  <c r="DK189" i="1"/>
  <c r="DK188" i="1"/>
  <c r="DK187" i="1"/>
  <c r="DL189" i="1"/>
  <c r="DL188" i="1"/>
  <c r="DM189" i="1"/>
  <c r="DM188" i="1"/>
  <c r="DN189" i="1"/>
  <c r="DN188" i="1"/>
  <c r="DO189" i="1"/>
  <c r="DO188" i="1"/>
  <c r="DP189" i="1"/>
  <c r="FW189" i="1"/>
  <c r="GQ189" i="1"/>
  <c r="FX189" i="1"/>
  <c r="GP189" i="1"/>
  <c r="FY191" i="1"/>
  <c r="GO191" i="1"/>
  <c r="FY199" i="1"/>
  <c r="FY206" i="1"/>
  <c r="GO206" i="1"/>
  <c r="FZ189" i="1"/>
  <c r="GN189" i="1"/>
  <c r="DK190" i="1"/>
  <c r="DL190" i="1"/>
  <c r="DM190" i="1"/>
  <c r="DN190" i="1"/>
  <c r="DO190" i="1"/>
  <c r="DP190" i="1"/>
  <c r="DI191" i="1"/>
  <c r="DJ191" i="1"/>
  <c r="DK191" i="1"/>
  <c r="DL191" i="1"/>
  <c r="DM191" i="1"/>
  <c r="DN191" i="1"/>
  <c r="DO191" i="1"/>
  <c r="DP191" i="1"/>
  <c r="FV191" i="1"/>
  <c r="GR191" i="1"/>
  <c r="FW191" i="1"/>
  <c r="GQ191" i="1"/>
  <c r="FX191" i="1"/>
  <c r="GP191" i="1"/>
  <c r="FZ191" i="1"/>
  <c r="GN191" i="1"/>
  <c r="DH192" i="1"/>
  <c r="DI192" i="1"/>
  <c r="DJ192" i="1"/>
  <c r="DK192" i="1"/>
  <c r="DL192" i="1"/>
  <c r="DM192" i="1"/>
  <c r="DN192" i="1"/>
  <c r="DO192" i="1"/>
  <c r="DP192" i="1"/>
  <c r="DH193" i="1"/>
  <c r="DM237" i="1"/>
  <c r="DI193" i="1"/>
  <c r="DJ193" i="1"/>
  <c r="DK193" i="1"/>
  <c r="DL193" i="1"/>
  <c r="DM193" i="1"/>
  <c r="DN193" i="1"/>
  <c r="DO193" i="1"/>
  <c r="DP193" i="1"/>
  <c r="FV193" i="1"/>
  <c r="GR193" i="1"/>
  <c r="FW193" i="1"/>
  <c r="GQ193" i="1"/>
  <c r="FX193" i="1"/>
  <c r="GP193" i="1"/>
  <c r="FZ193" i="1"/>
  <c r="GN193" i="1"/>
  <c r="GA193" i="1"/>
  <c r="GM193" i="1"/>
  <c r="GO193" i="1"/>
  <c r="DK194" i="1"/>
  <c r="DL194" i="1"/>
  <c r="DM194" i="1"/>
  <c r="DN194" i="1"/>
  <c r="DO194" i="1"/>
  <c r="DP194" i="1"/>
  <c r="FV194" i="1"/>
  <c r="GR194" i="1"/>
  <c r="FW194" i="1"/>
  <c r="GQ194" i="1"/>
  <c r="FX194" i="1"/>
  <c r="GP194" i="1"/>
  <c r="FZ194" i="1"/>
  <c r="GN194" i="1"/>
  <c r="GA194" i="1"/>
  <c r="GM194" i="1"/>
  <c r="GO194" i="1"/>
  <c r="DH195" i="1"/>
  <c r="DM240" i="1"/>
  <c r="DI195" i="1"/>
  <c r="DJ195" i="1"/>
  <c r="DK195" i="1"/>
  <c r="DK215" i="1"/>
  <c r="DL195" i="1"/>
  <c r="DM195" i="1"/>
  <c r="DN195" i="1"/>
  <c r="DO195" i="1"/>
  <c r="DP195" i="1"/>
  <c r="FV195" i="1"/>
  <c r="GR195" i="1"/>
  <c r="FW195" i="1"/>
  <c r="GQ195" i="1"/>
  <c r="FX195" i="1"/>
  <c r="GP195" i="1"/>
  <c r="FZ195" i="1"/>
  <c r="GN195" i="1"/>
  <c r="GA195" i="1"/>
  <c r="GM195" i="1"/>
  <c r="GO195" i="1"/>
  <c r="FV196" i="1"/>
  <c r="GR196" i="1"/>
  <c r="FW196" i="1"/>
  <c r="GQ196" i="1"/>
  <c r="FX196" i="1"/>
  <c r="GP196" i="1"/>
  <c r="FZ196" i="1"/>
  <c r="GN196" i="1"/>
  <c r="GA196" i="1"/>
  <c r="GM196" i="1"/>
  <c r="GO196" i="1"/>
  <c r="FV197" i="1"/>
  <c r="GR197" i="1"/>
  <c r="FW197" i="1"/>
  <c r="FX197" i="1"/>
  <c r="GP197" i="1"/>
  <c r="FZ197" i="1"/>
  <c r="GN197" i="1"/>
  <c r="GA197" i="1"/>
  <c r="GM197" i="1"/>
  <c r="GO197" i="1"/>
  <c r="GQ197" i="1"/>
  <c r="EW201" i="1"/>
  <c r="EW209" i="1"/>
  <c r="EW216" i="1"/>
  <c r="EW221" i="1"/>
  <c r="EW199" i="1"/>
  <c r="EX201" i="1"/>
  <c r="EX209" i="1"/>
  <c r="EX216" i="1"/>
  <c r="EX221" i="1"/>
  <c r="EY201" i="1"/>
  <c r="EY209" i="1"/>
  <c r="EY216" i="1"/>
  <c r="EY221" i="1"/>
  <c r="EY199" i="1"/>
  <c r="EZ201" i="1"/>
  <c r="EZ209" i="1"/>
  <c r="EZ216" i="1"/>
  <c r="EZ221" i="1"/>
  <c r="FA201" i="1"/>
  <c r="FA209" i="1"/>
  <c r="FA216" i="1"/>
  <c r="FA221" i="1"/>
  <c r="FA199" i="1"/>
  <c r="FV199" i="1"/>
  <c r="GR199" i="1"/>
  <c r="FW199" i="1"/>
  <c r="GQ199" i="1"/>
  <c r="FX199" i="1"/>
  <c r="GP199" i="1"/>
  <c r="FZ199" i="1"/>
  <c r="GN199" i="1"/>
  <c r="GA199" i="1"/>
  <c r="GM199" i="1"/>
  <c r="FB201" i="1"/>
  <c r="FV201" i="1"/>
  <c r="GR201" i="1"/>
  <c r="FW201" i="1"/>
  <c r="GQ201" i="1"/>
  <c r="FX201" i="1"/>
  <c r="GP201" i="1"/>
  <c r="FZ201" i="1"/>
  <c r="GN201" i="1"/>
  <c r="GA201" i="1"/>
  <c r="GM201" i="1"/>
  <c r="GO201" i="1"/>
  <c r="FV202" i="1"/>
  <c r="GR202" i="1"/>
  <c r="FW202" i="1"/>
  <c r="GQ202" i="1"/>
  <c r="FX202" i="1"/>
  <c r="GP202" i="1"/>
  <c r="FZ202" i="1"/>
  <c r="GN202" i="1"/>
  <c r="GA202" i="1"/>
  <c r="GM202" i="1"/>
  <c r="GO202" i="1"/>
  <c r="FV204" i="1"/>
  <c r="GR204" i="1"/>
  <c r="FW204" i="1"/>
  <c r="GQ204" i="1"/>
  <c r="FX204" i="1"/>
  <c r="GP204" i="1"/>
  <c r="FZ204" i="1"/>
  <c r="GN204" i="1"/>
  <c r="GA204" i="1"/>
  <c r="GM204" i="1"/>
  <c r="GO204" i="1"/>
  <c r="FX206" i="1"/>
  <c r="GP206" i="1"/>
  <c r="FZ206" i="1"/>
  <c r="GN206" i="1"/>
  <c r="GA206" i="1"/>
  <c r="GM206" i="1"/>
  <c r="GR206" i="1"/>
  <c r="FV208" i="1"/>
  <c r="GR208" i="1"/>
  <c r="FW208" i="1"/>
  <c r="GQ208" i="1"/>
  <c r="FX208" i="1"/>
  <c r="GP208" i="1"/>
  <c r="FZ208" i="1"/>
  <c r="GN208" i="1"/>
  <c r="GA208" i="1"/>
  <c r="GM208" i="1"/>
  <c r="GO208" i="1"/>
  <c r="FB209" i="1"/>
  <c r="FV209" i="1"/>
  <c r="GR209" i="1"/>
  <c r="FW209" i="1"/>
  <c r="GQ209" i="1"/>
  <c r="FX209" i="1"/>
  <c r="GP209" i="1"/>
  <c r="FZ209" i="1"/>
  <c r="GN209" i="1"/>
  <c r="GA209" i="1"/>
  <c r="GM209" i="1"/>
  <c r="GO209" i="1"/>
  <c r="FX211" i="1"/>
  <c r="GP211" i="1"/>
  <c r="FZ211" i="1"/>
  <c r="GN211" i="1"/>
  <c r="FV213" i="1"/>
  <c r="GR213" i="1"/>
  <c r="FW213" i="1"/>
  <c r="GQ213" i="1"/>
  <c r="FX213" i="1"/>
  <c r="GP213" i="1"/>
  <c r="FZ213" i="1"/>
  <c r="GN213" i="1"/>
  <c r="GA213" i="1"/>
  <c r="GM213" i="1"/>
  <c r="GO213" i="1"/>
  <c r="FV214" i="1"/>
  <c r="GR214" i="1"/>
  <c r="FW214" i="1"/>
  <c r="GQ214" i="1"/>
  <c r="FX214" i="1"/>
  <c r="GP214" i="1"/>
  <c r="FZ214" i="1"/>
  <c r="GN214" i="1"/>
  <c r="GA214" i="1"/>
  <c r="GM214" i="1"/>
  <c r="GO214" i="1"/>
  <c r="FV215" i="1"/>
  <c r="GR215" i="1"/>
  <c r="FW215" i="1"/>
  <c r="GQ215" i="1"/>
  <c r="FX215" i="1"/>
  <c r="GP215" i="1"/>
  <c r="FZ215" i="1"/>
  <c r="GN215" i="1"/>
  <c r="GA215" i="1"/>
  <c r="GM215" i="1"/>
  <c r="GO215" i="1"/>
  <c r="FB216" i="1"/>
  <c r="FV217" i="1"/>
  <c r="GR217" i="1"/>
  <c r="FW217" i="1"/>
  <c r="GQ217" i="1"/>
  <c r="FX217" i="1"/>
  <c r="GP217" i="1"/>
  <c r="FZ217" i="1"/>
  <c r="GN217" i="1"/>
  <c r="GA217" i="1"/>
  <c r="GM217" i="1"/>
  <c r="GO217" i="1"/>
  <c r="FV219" i="1"/>
  <c r="GR219" i="1"/>
  <c r="FW219" i="1"/>
  <c r="GQ219" i="1"/>
  <c r="FX219" i="1"/>
  <c r="GP219" i="1"/>
  <c r="FZ219" i="1"/>
  <c r="GN219" i="1"/>
  <c r="GA219" i="1"/>
  <c r="GM219" i="1"/>
  <c r="GO219" i="1"/>
  <c r="FB221" i="1"/>
  <c r="DL228" i="1"/>
  <c r="DP228" i="1"/>
  <c r="DL230" i="1"/>
  <c r="DL229" i="1"/>
  <c r="DP229" i="1"/>
  <c r="DL231" i="1"/>
  <c r="DL233" i="1"/>
  <c r="DL227" i="1"/>
  <c r="DL236" i="1"/>
  <c r="DL226" i="1"/>
  <c r="DL237" i="1"/>
  <c r="DL240" i="1"/>
  <c r="DM234" i="1"/>
  <c r="DM235" i="1"/>
  <c r="DP235" i="1"/>
  <c r="DM236" i="1"/>
  <c r="DM239" i="1"/>
  <c r="DM230" i="1"/>
  <c r="DM231" i="1"/>
  <c r="DM229" i="1"/>
  <c r="DN230" i="1"/>
  <c r="DN229" i="1"/>
  <c r="DO230" i="1"/>
  <c r="DO229" i="1"/>
  <c r="DN231" i="1"/>
  <c r="DO231" i="1"/>
  <c r="DN235" i="1"/>
  <c r="DN239" i="1"/>
  <c r="DN238" i="1"/>
  <c r="DO234" i="1"/>
  <c r="DO233" i="1"/>
  <c r="DO235" i="1"/>
  <c r="DN237" i="1"/>
  <c r="DO239" i="1"/>
  <c r="DN240" i="1"/>
  <c r="DN332" i="1"/>
  <c r="DN277" i="1"/>
  <c r="DN278" i="1"/>
  <c r="DN273" i="1"/>
  <c r="DK278" i="1"/>
  <c r="DP332" i="1"/>
  <c r="DN283" i="1"/>
  <c r="DK283" i="1"/>
  <c r="DN284" i="1"/>
  <c r="DK284" i="1"/>
  <c r="DN286" i="1"/>
  <c r="DK286" i="1"/>
  <c r="DN288" i="1"/>
  <c r="DN293" i="1"/>
  <c r="DK293" i="1"/>
  <c r="DN301" i="1"/>
  <c r="DK301" i="1"/>
  <c r="DR273" i="1"/>
  <c r="DR281" i="1"/>
  <c r="DR271" i="1"/>
  <c r="DP277" i="1"/>
  <c r="DM277" i="1"/>
  <c r="DP278" i="1"/>
  <c r="DM278" i="1"/>
  <c r="DP283" i="1"/>
  <c r="DM283" i="1"/>
  <c r="DP301" i="1"/>
  <c r="DO283" i="1"/>
  <c r="DO284" i="1"/>
  <c r="DO277" i="1"/>
  <c r="DO278" i="1"/>
  <c r="DO301" i="1"/>
  <c r="DQ277" i="1"/>
  <c r="DQ278" i="1"/>
  <c r="DQ273" i="1"/>
  <c r="DQ283" i="1"/>
  <c r="DQ281" i="1"/>
  <c r="DQ301" i="1"/>
  <c r="DQ271" i="1"/>
  <c r="FW276" i="1"/>
  <c r="FW274" i="1"/>
  <c r="FW280" i="1"/>
  <c r="GA280" i="1"/>
  <c r="FX392" i="1"/>
  <c r="FX276" i="1"/>
  <c r="FX274" i="1"/>
  <c r="FX280" i="1"/>
  <c r="FY284" i="1"/>
  <c r="FY274" i="1"/>
  <c r="FY273" i="1"/>
  <c r="FY271" i="1"/>
  <c r="FZ274" i="1"/>
  <c r="FZ280" i="1"/>
  <c r="FZ273" i="1"/>
  <c r="FZ271" i="1"/>
  <c r="GA284" i="1"/>
  <c r="FX396" i="1"/>
  <c r="DK275" i="1"/>
  <c r="DL275" i="1"/>
  <c r="DM275" i="1"/>
  <c r="DK276" i="1"/>
  <c r="DL276" i="1"/>
  <c r="DM276" i="1"/>
  <c r="FW277" i="1"/>
  <c r="GA277" i="1"/>
  <c r="FX389" i="1"/>
  <c r="FX277" i="1"/>
  <c r="FW278" i="1"/>
  <c r="GA278" i="1"/>
  <c r="FX390" i="1"/>
  <c r="FX278" i="1"/>
  <c r="DL279" i="1"/>
  <c r="GA281" i="1"/>
  <c r="FX393" i="1"/>
  <c r="DM284" i="1"/>
  <c r="DM286" i="1"/>
  <c r="FY286" i="1"/>
  <c r="FZ286" i="1"/>
  <c r="GA286" i="1"/>
  <c r="FX398" i="1"/>
  <c r="GA287" i="1"/>
  <c r="FX399" i="1"/>
  <c r="DM288" i="1"/>
  <c r="FY288" i="1"/>
  <c r="FZ288" i="1"/>
  <c r="GA288" i="1"/>
  <c r="FX400" i="1"/>
  <c r="DK290" i="1"/>
  <c r="DL290" i="1"/>
  <c r="DM290" i="1"/>
  <c r="DK291" i="1"/>
  <c r="DL291" i="1"/>
  <c r="DM291" i="1"/>
  <c r="DM293" i="1"/>
  <c r="DK295" i="1"/>
  <c r="DL295" i="1"/>
  <c r="DM295" i="1"/>
  <c r="DK296" i="1"/>
  <c r="DL296" i="1"/>
  <c r="DM296" i="1"/>
  <c r="DK297" i="1"/>
  <c r="DL297" i="1"/>
  <c r="DM297" i="1"/>
  <c r="DK299" i="1"/>
  <c r="DL299" i="1"/>
  <c r="DM299" i="1"/>
  <c r="DN325" i="1"/>
  <c r="DR325" i="1"/>
  <c r="DO326" i="1"/>
  <c r="DQ326" i="1"/>
  <c r="DR326" i="1"/>
  <c r="FW331" i="1"/>
  <c r="FW337" i="1"/>
  <c r="FW330" i="1"/>
  <c r="FX331" i="1"/>
  <c r="FX337" i="1"/>
  <c r="FX330" i="1"/>
  <c r="FX328" i="1"/>
  <c r="FY341" i="1"/>
  <c r="FY331" i="1"/>
  <c r="FY337" i="1"/>
  <c r="FZ331" i="1"/>
  <c r="FZ337" i="1"/>
  <c r="FZ330" i="1"/>
  <c r="FZ328" i="1"/>
  <c r="GA337" i="1"/>
  <c r="FZ392" i="1"/>
  <c r="GA341" i="1"/>
  <c r="DN329" i="1"/>
  <c r="DO329" i="1"/>
  <c r="DP329" i="1"/>
  <c r="DQ329" i="1"/>
  <c r="DR329" i="1"/>
  <c r="DN330" i="1"/>
  <c r="DO330" i="1"/>
  <c r="DP330" i="1"/>
  <c r="DQ330" i="1"/>
  <c r="DO331" i="1"/>
  <c r="DP331" i="1"/>
  <c r="DQ331" i="1"/>
  <c r="DR331" i="1"/>
  <c r="FW333" i="1"/>
  <c r="FX333" i="1"/>
  <c r="FY333" i="1"/>
  <c r="FZ333" i="1"/>
  <c r="FW334" i="1"/>
  <c r="FY334" i="1"/>
  <c r="GA334" i="1"/>
  <c r="FZ389" i="1"/>
  <c r="FX334" i="1"/>
  <c r="FZ334" i="1"/>
  <c r="FW335" i="1"/>
  <c r="FY335" i="1"/>
  <c r="GA335" i="1"/>
  <c r="FZ390" i="1"/>
  <c r="FX335" i="1"/>
  <c r="FZ335" i="1"/>
  <c r="GA338" i="1"/>
  <c r="GA343" i="1"/>
  <c r="GA344" i="1"/>
  <c r="GA345" i="1"/>
  <c r="FZ400" i="1"/>
  <c r="C20" i="1"/>
  <c r="AI17" i="1"/>
  <c r="CJ172" i="1"/>
  <c r="CX172" i="1"/>
  <c r="CI111" i="1"/>
  <c r="CI112" i="1"/>
  <c r="CY112" i="1"/>
  <c r="DR332" i="1"/>
  <c r="FL148" i="1"/>
  <c r="FV119" i="1"/>
  <c r="GR119" i="1"/>
  <c r="DW92" i="1"/>
  <c r="CH101" i="1"/>
  <c r="CZ101" i="1"/>
  <c r="DH84" i="1"/>
  <c r="DH83" i="1"/>
  <c r="DG64" i="1"/>
  <c r="DM85" i="1"/>
  <c r="DM93" i="1"/>
  <c r="EH87" i="1"/>
  <c r="FV80" i="1"/>
  <c r="GR80" i="1"/>
  <c r="DL88" i="1"/>
  <c r="DL83" i="1"/>
  <c r="DL96" i="1"/>
  <c r="CM56" i="1"/>
  <c r="CU56" i="1"/>
  <c r="CI56" i="1"/>
  <c r="CY56" i="1"/>
  <c r="CY57" i="1"/>
  <c r="CK103" i="1"/>
  <c r="CW103" i="1"/>
  <c r="CL103" i="1"/>
  <c r="CV103" i="1"/>
  <c r="BU52" i="1"/>
  <c r="BT52" i="1"/>
  <c r="CJ176" i="1"/>
  <c r="CX176" i="1"/>
  <c r="DW94" i="1"/>
  <c r="DW93" i="1"/>
  <c r="FZ164" i="1"/>
  <c r="BU56" i="1"/>
  <c r="BT56" i="1"/>
  <c r="CU156" i="1"/>
  <c r="DV85" i="1"/>
  <c r="DV93" i="1"/>
  <c r="FW119" i="1"/>
  <c r="GQ119" i="1"/>
  <c r="GA126" i="1"/>
  <c r="GM126" i="1"/>
  <c r="EF137" i="1"/>
  <c r="EE130" i="1"/>
  <c r="DV98" i="1"/>
  <c r="EG98" i="1"/>
  <c r="EU71" i="1"/>
  <c r="FQ71" i="1"/>
  <c r="DK212" i="1"/>
  <c r="DP236" i="1"/>
  <c r="DN98" i="1"/>
  <c r="DI86" i="1"/>
  <c r="DN94" i="1"/>
  <c r="R18" i="1"/>
  <c r="X18" i="1"/>
  <c r="AG19" i="1"/>
  <c r="R19" i="1"/>
  <c r="U19" i="1"/>
  <c r="AE20" i="1"/>
  <c r="C17" i="1"/>
  <c r="CK177" i="1"/>
  <c r="CW177" i="1"/>
  <c r="DL84" i="1"/>
  <c r="DL92" i="1"/>
  <c r="CV57" i="1"/>
  <c r="CL56" i="1"/>
  <c r="CV56" i="1"/>
  <c r="CY52" i="1"/>
  <c r="CM52" i="1"/>
  <c r="CU52" i="1"/>
  <c r="FV211" i="1"/>
  <c r="GR211" i="1"/>
  <c r="CL175" i="1"/>
  <c r="CL171" i="1"/>
  <c r="CV171" i="1"/>
  <c r="CK176" i="1"/>
  <c r="CW176" i="1"/>
  <c r="CK172" i="1"/>
  <c r="CW172" i="1"/>
  <c r="CV166" i="1"/>
  <c r="EE125" i="1"/>
  <c r="CU93" i="1"/>
  <c r="CI103" i="1"/>
  <c r="CY103" i="1"/>
  <c r="CJ103" i="1"/>
  <c r="CX103" i="1"/>
  <c r="DN92" i="1"/>
  <c r="CY90" i="1"/>
  <c r="CY113" i="1"/>
  <c r="DY88" i="1"/>
  <c r="DI85" i="1"/>
  <c r="DM91" i="1"/>
  <c r="DM97" i="1"/>
  <c r="FW75" i="1"/>
  <c r="GQ75" i="1"/>
  <c r="DM87" i="1"/>
  <c r="DM95" i="1"/>
  <c r="CK56" i="1"/>
  <c r="CW56" i="1"/>
  <c r="CW57" i="1"/>
  <c r="R24" i="1"/>
  <c r="U24" i="1"/>
  <c r="X24" i="1"/>
  <c r="DP240" i="1"/>
  <c r="FO88" i="1"/>
  <c r="DL95" i="1"/>
  <c r="DP237" i="1"/>
  <c r="CK173" i="1"/>
  <c r="CW173" i="1"/>
  <c r="CW151" i="1"/>
  <c r="GA131" i="1"/>
  <c r="GM131" i="1"/>
  <c r="CZ57" i="1"/>
  <c r="CH56" i="1"/>
  <c r="CZ56" i="1"/>
  <c r="AI19" i="1"/>
  <c r="R20" i="1"/>
  <c r="C18" i="1"/>
  <c r="CH106" i="1"/>
  <c r="CZ106" i="1"/>
  <c r="CI106" i="1"/>
  <c r="CY106" i="1"/>
  <c r="CL115" i="1"/>
  <c r="CV115" i="1"/>
  <c r="DP88" i="1"/>
  <c r="GA80" i="1"/>
  <c r="GM80" i="1"/>
  <c r="EC90" i="1"/>
  <c r="EA91" i="1"/>
  <c r="DU84" i="1"/>
  <c r="FV111" i="1"/>
  <c r="GR111" i="1"/>
  <c r="EF126" i="1"/>
  <c r="EF136" i="1"/>
  <c r="EF142" i="1"/>
  <c r="DH89" i="1"/>
  <c r="DM96" i="1"/>
  <c r="EE92" i="1"/>
  <c r="EG102" i="1"/>
  <c r="ED129" i="1"/>
  <c r="AB26" i="1"/>
  <c r="R26" i="1"/>
  <c r="X26" i="1"/>
  <c r="CV163" i="1"/>
  <c r="EX131" i="1"/>
  <c r="FN131" i="1"/>
  <c r="ED125" i="1"/>
  <c r="DM134" i="1"/>
  <c r="DJ73" i="1"/>
  <c r="DF70" i="1"/>
  <c r="DF69" i="1"/>
  <c r="U21" i="1"/>
  <c r="AC22" i="1"/>
  <c r="AA22" i="1"/>
  <c r="DP188" i="1"/>
  <c r="DP187" i="1"/>
  <c r="DJ188" i="1"/>
  <c r="DO148" i="1"/>
  <c r="ED131" i="1"/>
  <c r="CJ104" i="1"/>
  <c r="CX104" i="1"/>
  <c r="CI104" i="1"/>
  <c r="CY104" i="1"/>
  <c r="DP239" i="1"/>
  <c r="DP231" i="1"/>
  <c r="EF130" i="1"/>
  <c r="EF131" i="1"/>
  <c r="EF140" i="1"/>
  <c r="EF132" i="1"/>
  <c r="EF141" i="1"/>
  <c r="EF125" i="1"/>
  <c r="DK107" i="1"/>
  <c r="DK135" i="1"/>
  <c r="DI108" i="1"/>
  <c r="DI107" i="1"/>
  <c r="DI129" i="1"/>
  <c r="DN108" i="1"/>
  <c r="DN107" i="1"/>
  <c r="DN134" i="1"/>
  <c r="DM148" i="1"/>
  <c r="ED130" i="1"/>
  <c r="EF95" i="1"/>
  <c r="EF105" i="1"/>
  <c r="EF92" i="1"/>
  <c r="EF102" i="1"/>
  <c r="EF94" i="1"/>
  <c r="EF104" i="1"/>
  <c r="EF96" i="1"/>
  <c r="EF97" i="1"/>
  <c r="EF106" i="1"/>
  <c r="CH176" i="1"/>
  <c r="CZ176" i="1"/>
  <c r="DT113" i="1"/>
  <c r="CV151" i="1"/>
  <c r="CZ151" i="1"/>
  <c r="DS104" i="1"/>
  <c r="DT104" i="1"/>
  <c r="DO98" i="1"/>
  <c r="DT91" i="1"/>
  <c r="DJ64" i="1"/>
  <c r="CJ114" i="1"/>
  <c r="CX114" i="1"/>
  <c r="CJ115" i="1"/>
  <c r="CX115" i="1"/>
  <c r="EB86" i="1"/>
  <c r="EE104" i="1"/>
  <c r="DX91" i="1"/>
  <c r="DX93" i="1"/>
  <c r="EC62" i="1"/>
  <c r="EA62" i="1"/>
  <c r="FP52" i="1"/>
  <c r="CM50" i="1"/>
  <c r="CU50" i="1"/>
  <c r="FP58" i="1"/>
  <c r="EC58" i="1"/>
  <c r="EE57" i="1"/>
  <c r="EC57" i="1"/>
  <c r="EC56" i="1"/>
  <c r="CM48" i="1"/>
  <c r="CU48" i="1"/>
  <c r="CV48" i="1"/>
  <c r="EC60" i="1"/>
  <c r="AC16" i="1"/>
  <c r="AE16" i="1"/>
  <c r="EC59" i="1"/>
  <c r="EA58" i="1"/>
  <c r="AI18" i="1"/>
  <c r="R23" i="1"/>
  <c r="U23" i="1"/>
  <c r="AI22" i="1"/>
  <c r="AF16" i="1"/>
  <c r="DU83" i="1"/>
  <c r="DU96" i="1"/>
  <c r="FV109" i="1"/>
  <c r="GR109" i="1"/>
  <c r="DL69" i="1"/>
  <c r="ED92" i="1"/>
  <c r="FV189" i="1"/>
  <c r="GR189" i="1"/>
  <c r="DL93" i="1"/>
  <c r="DP173" i="1"/>
  <c r="DP169" i="1"/>
  <c r="DP171" i="1"/>
  <c r="DL169" i="1"/>
  <c r="DU94" i="1"/>
  <c r="X28" i="1"/>
  <c r="R28" i="1"/>
  <c r="DK210" i="1"/>
  <c r="DK288" i="1"/>
  <c r="DL288" i="1"/>
  <c r="DK277" i="1"/>
  <c r="FX156" i="1"/>
  <c r="FX154" i="1"/>
  <c r="GO131" i="1"/>
  <c r="DI88" i="1"/>
  <c r="DO91" i="1"/>
  <c r="DO96" i="1"/>
  <c r="DO95" i="1"/>
  <c r="FB93" i="1"/>
  <c r="FJ93" i="1"/>
  <c r="DM71" i="1"/>
  <c r="DI190" i="1"/>
  <c r="CH162" i="1"/>
  <c r="CY47" i="1"/>
  <c r="CM47" i="1"/>
  <c r="CU47" i="1"/>
  <c r="DJ88" i="1"/>
  <c r="EG129" i="1"/>
  <c r="AF22" i="1"/>
  <c r="AF17" i="1"/>
  <c r="EG126" i="1"/>
  <c r="DO273" i="1"/>
  <c r="CH172" i="1"/>
  <c r="CH175" i="1"/>
  <c r="CZ175" i="1"/>
  <c r="CH174" i="1"/>
  <c r="CZ174" i="1"/>
  <c r="EG131" i="1"/>
  <c r="EG130" i="1"/>
  <c r="DT105" i="1"/>
  <c r="CI115" i="1"/>
  <c r="CY115" i="1"/>
  <c r="CI117" i="1"/>
  <c r="CY117" i="1"/>
  <c r="CI116" i="1"/>
  <c r="CY116" i="1"/>
  <c r="CI114" i="1"/>
  <c r="CY114" i="1"/>
  <c r="DJ89" i="1"/>
  <c r="EG91" i="1"/>
  <c r="EB89" i="1"/>
  <c r="EG95" i="1"/>
  <c r="DX92" i="1"/>
  <c r="EX71" i="1"/>
  <c r="FN71" i="1"/>
  <c r="DJ85" i="1"/>
  <c r="EG127" i="1"/>
  <c r="DP230" i="1"/>
  <c r="DN228" i="1"/>
  <c r="EB121" i="1"/>
  <c r="EE139" i="1"/>
  <c r="CU158" i="1"/>
  <c r="AI23" i="1"/>
  <c r="C22" i="1"/>
  <c r="DH88" i="1"/>
  <c r="AB20" i="1"/>
  <c r="AI21" i="1"/>
  <c r="DP70" i="1"/>
  <c r="EC94" i="1"/>
  <c r="DM187" i="1"/>
  <c r="DM214" i="1"/>
  <c r="DJ172" i="1"/>
  <c r="DJ175" i="1"/>
  <c r="DJ174" i="1"/>
  <c r="DJ168" i="1"/>
  <c r="DJ167" i="1"/>
  <c r="DJ171" i="1"/>
  <c r="DJ169" i="1"/>
  <c r="CL113" i="1"/>
  <c r="CV113" i="1"/>
  <c r="CL114" i="1"/>
  <c r="CV114" i="1"/>
  <c r="CL112" i="1"/>
  <c r="CV112" i="1"/>
  <c r="CH164" i="1"/>
  <c r="CZ164" i="1"/>
  <c r="CI164" i="1"/>
  <c r="CY164" i="1"/>
  <c r="CU154" i="1"/>
  <c r="DY84" i="1"/>
  <c r="GA111" i="1"/>
  <c r="GM111" i="1"/>
  <c r="CV90" i="1"/>
  <c r="DN148" i="1"/>
  <c r="DN147" i="1"/>
  <c r="DN171" i="1"/>
  <c r="DP134" i="1"/>
  <c r="DU105" i="1"/>
  <c r="CK116" i="1"/>
  <c r="CW116" i="1"/>
  <c r="CK115" i="1"/>
  <c r="CW115" i="1"/>
  <c r="CW90" i="1"/>
  <c r="DP84" i="1"/>
  <c r="EH88" i="1"/>
  <c r="GA211" i="1"/>
  <c r="GM211" i="1"/>
  <c r="DE9" i="1"/>
  <c r="EM12" i="1"/>
  <c r="DU104" i="1"/>
  <c r="CM165" i="1"/>
  <c r="CU165" i="1"/>
  <c r="ED91" i="1"/>
  <c r="DL107" i="1"/>
  <c r="FM81" i="1"/>
  <c r="GO211" i="1"/>
  <c r="DF9" i="1"/>
  <c r="GA109" i="1"/>
  <c r="GM109" i="1"/>
  <c r="DT112" i="1"/>
  <c r="EB88" i="1"/>
  <c r="EE106" i="1"/>
  <c r="FB133" i="1"/>
  <c r="FJ133" i="1"/>
  <c r="CU91" i="1"/>
  <c r="CJ101" i="1"/>
  <c r="CX101" i="1"/>
  <c r="CK101" i="1"/>
  <c r="CW101" i="1"/>
  <c r="CI101" i="1"/>
  <c r="CY101" i="1"/>
  <c r="CH114" i="1"/>
  <c r="CZ114" i="1"/>
  <c r="CH113" i="1"/>
  <c r="CZ113" i="1"/>
  <c r="CH111" i="1"/>
  <c r="CZ111" i="1"/>
  <c r="CH112" i="1"/>
  <c r="CZ112" i="1"/>
  <c r="CH115" i="1"/>
  <c r="CZ115" i="1"/>
  <c r="CH116" i="1"/>
  <c r="FO73" i="1"/>
  <c r="EW71" i="1"/>
  <c r="FO71" i="1"/>
  <c r="CJ162" i="1"/>
  <c r="CX162" i="1"/>
  <c r="CU152" i="1"/>
  <c r="CK162" i="1"/>
  <c r="CW162" i="1"/>
  <c r="Z15" i="1"/>
  <c r="Z16" i="1"/>
  <c r="Z17" i="1"/>
  <c r="X27" i="1"/>
  <c r="R27" i="1"/>
  <c r="U27" i="1"/>
  <c r="EN12" i="1"/>
  <c r="CL111" i="1"/>
  <c r="CV111" i="1"/>
  <c r="AF20" i="1"/>
  <c r="FW328" i="1"/>
  <c r="FL133" i="1"/>
  <c r="DM131" i="1"/>
  <c r="CJ105" i="1"/>
  <c r="CX105" i="1"/>
  <c r="CK105" i="1"/>
  <c r="CW105" i="1"/>
  <c r="CL105" i="1"/>
  <c r="CV105" i="1"/>
  <c r="FW68" i="1"/>
  <c r="GQ68" i="1"/>
  <c r="DH190" i="1"/>
  <c r="DH188" i="1"/>
  <c r="X22" i="1"/>
  <c r="AG23" i="1"/>
  <c r="ED57" i="1"/>
  <c r="EA57" i="1"/>
  <c r="DI9" i="1"/>
  <c r="EI12" i="1"/>
  <c r="ED56" i="1"/>
  <c r="CM51" i="1"/>
  <c r="CU51" i="1"/>
  <c r="CM167" i="1"/>
  <c r="CU167" i="1"/>
  <c r="CL162" i="1"/>
  <c r="CV162" i="1"/>
  <c r="FB73" i="1"/>
  <c r="FJ73" i="1"/>
  <c r="FB81" i="1"/>
  <c r="FJ81" i="1"/>
  <c r="CK112" i="1"/>
  <c r="CW112" i="1"/>
  <c r="CK102" i="1"/>
  <c r="CW102" i="1"/>
  <c r="DK214" i="1"/>
  <c r="DK209" i="1"/>
  <c r="EG140" i="1"/>
  <c r="CL101" i="1"/>
  <c r="CU92" i="1"/>
  <c r="C48" i="1"/>
  <c r="DL293" i="1"/>
  <c r="EB85" i="1"/>
  <c r="EE103" i="1"/>
  <c r="DJ71" i="1"/>
  <c r="DL97" i="1"/>
  <c r="CM166" i="1"/>
  <c r="CU166" i="1"/>
  <c r="DS109" i="1"/>
  <c r="DV87" i="1"/>
  <c r="DV95" i="1"/>
  <c r="FW126" i="1"/>
  <c r="GQ126" i="1"/>
  <c r="BU55" i="1"/>
  <c r="BT55" i="1"/>
  <c r="CH163" i="1"/>
  <c r="CZ163" i="1"/>
  <c r="CK163" i="1"/>
  <c r="CW163" i="1"/>
  <c r="EB87" i="1"/>
  <c r="EE105" i="1"/>
  <c r="DO97" i="1"/>
  <c r="EB122" i="1"/>
  <c r="DK133" i="1"/>
  <c r="DK131" i="1"/>
  <c r="DL91" i="1"/>
  <c r="DI64" i="1"/>
  <c r="CI173" i="1"/>
  <c r="CM49" i="1"/>
  <c r="CU49" i="1"/>
  <c r="CL106" i="1"/>
  <c r="CV106" i="1"/>
  <c r="DI89" i="1"/>
  <c r="CJ163" i="1"/>
  <c r="FA131" i="1"/>
  <c r="FK131" i="1"/>
  <c r="EG125" i="1"/>
  <c r="EG128" i="1"/>
  <c r="DI84" i="1"/>
  <c r="DI83" i="1"/>
  <c r="DM73" i="1"/>
  <c r="DI194" i="1"/>
  <c r="FZ393" i="1"/>
  <c r="DK211" i="1"/>
  <c r="DP175" i="1"/>
  <c r="DL131" i="1"/>
  <c r="EE94" i="1"/>
  <c r="EG104" i="1"/>
  <c r="EE93" i="1"/>
  <c r="EG103" i="1"/>
  <c r="FZ396" i="1"/>
  <c r="EZ199" i="1"/>
  <c r="DJ170" i="1"/>
  <c r="EE129" i="1"/>
  <c r="EG139" i="1"/>
  <c r="DK128" i="1"/>
  <c r="DK127" i="1"/>
  <c r="EE97" i="1"/>
  <c r="DS89" i="1"/>
  <c r="DK273" i="1"/>
  <c r="DN187" i="1"/>
  <c r="DH175" i="1"/>
  <c r="DH174" i="1"/>
  <c r="DH173" i="1"/>
  <c r="DH169" i="1"/>
  <c r="DH172" i="1"/>
  <c r="DH171" i="1"/>
  <c r="FN172" i="1"/>
  <c r="Z20" i="1"/>
  <c r="DO187" i="1"/>
  <c r="DO211" i="1"/>
  <c r="FZ154" i="1"/>
  <c r="FP141" i="1"/>
  <c r="DO238" i="1"/>
  <c r="DU109" i="1"/>
  <c r="DP131" i="1"/>
  <c r="DN132" i="1"/>
  <c r="ED95" i="1"/>
  <c r="DK129" i="1"/>
  <c r="CM103" i="1"/>
  <c r="CU103" i="1"/>
  <c r="DX97" i="1"/>
  <c r="EZ71" i="1"/>
  <c r="FL71" i="1"/>
  <c r="EV71" i="1"/>
  <c r="FP71" i="1"/>
  <c r="DJ74" i="1"/>
  <c r="CL110" i="1"/>
  <c r="CV110" i="1"/>
  <c r="DM98" i="1"/>
  <c r="FB88" i="1"/>
  <c r="FJ88" i="1"/>
  <c r="DK208" i="1"/>
  <c r="DK207" i="1"/>
  <c r="DU108" i="1"/>
  <c r="DT108" i="1"/>
  <c r="DF73" i="1"/>
  <c r="DF71" i="1"/>
  <c r="DP128" i="1"/>
  <c r="DP127" i="1"/>
  <c r="DK134" i="1"/>
  <c r="DK213" i="1"/>
  <c r="DP69" i="1"/>
  <c r="ED98" i="1"/>
  <c r="DP168" i="1"/>
  <c r="DP167" i="1"/>
  <c r="DP170" i="1"/>
  <c r="AE17" i="1"/>
  <c r="DL98" i="1"/>
  <c r="CX90" i="1"/>
  <c r="CM90" i="1"/>
  <c r="CM116" i="1"/>
  <c r="CU116" i="1"/>
  <c r="DU110" i="1"/>
  <c r="GA276" i="1"/>
  <c r="GA274" i="1"/>
  <c r="DN131" i="1"/>
  <c r="DN129" i="1"/>
  <c r="DF75" i="1"/>
  <c r="DJ107" i="1"/>
  <c r="DJ135" i="1"/>
  <c r="FA71" i="1"/>
  <c r="FK71" i="1"/>
  <c r="AA45" i="1"/>
  <c r="DL277" i="1"/>
  <c r="DM211" i="1"/>
  <c r="DM212" i="1"/>
  <c r="EE98" i="1"/>
  <c r="EG107" i="1"/>
  <c r="DH85" i="1"/>
  <c r="FZ399" i="1"/>
  <c r="DL286" i="1"/>
  <c r="DO133" i="1"/>
  <c r="CJ106" i="1"/>
  <c r="CX106" i="1"/>
  <c r="CU96" i="1"/>
  <c r="CI105" i="1"/>
  <c r="CY105" i="1"/>
  <c r="CU95" i="1"/>
  <c r="CH105" i="1"/>
  <c r="CZ105" i="1"/>
  <c r="DN91" i="1"/>
  <c r="DN95" i="1"/>
  <c r="DI87" i="1"/>
  <c r="DJ75" i="1"/>
  <c r="DJ173" i="1"/>
  <c r="DS108" i="1"/>
  <c r="DP234" i="1"/>
  <c r="DK130" i="1"/>
  <c r="DP129" i="1"/>
  <c r="DL187" i="1"/>
  <c r="DL209" i="1"/>
  <c r="DI133" i="1"/>
  <c r="DP211" i="1"/>
  <c r="ED97" i="1"/>
  <c r="DH168" i="1"/>
  <c r="DH167" i="1"/>
  <c r="DK132" i="1"/>
  <c r="DN227" i="1"/>
  <c r="DN226" i="1"/>
  <c r="FB148" i="1"/>
  <c r="FJ148" i="1"/>
  <c r="EY131" i="1"/>
  <c r="FM131" i="1"/>
  <c r="DL278" i="1"/>
  <c r="CV175" i="1"/>
  <c r="FZ398" i="1"/>
  <c r="GA172" i="1"/>
  <c r="ED128" i="1"/>
  <c r="ED127" i="1"/>
  <c r="CJ113" i="1"/>
  <c r="CJ111" i="1"/>
  <c r="CJ116" i="1"/>
  <c r="CJ117" i="1"/>
  <c r="CX117" i="1"/>
  <c r="CX113" i="1"/>
  <c r="CX116" i="1"/>
  <c r="DL94" i="1"/>
  <c r="ED93" i="1"/>
  <c r="DN174" i="1"/>
  <c r="DI132" i="1"/>
  <c r="EG105" i="1"/>
  <c r="ED132" i="1"/>
  <c r="DS110" i="1"/>
  <c r="DV94" i="1"/>
  <c r="DN93" i="1"/>
  <c r="EE127" i="1"/>
  <c r="EG137" i="1"/>
  <c r="EE128" i="1"/>
  <c r="EG138" i="1"/>
  <c r="EE96" i="1"/>
  <c r="EG106" i="1"/>
  <c r="DF74" i="1"/>
  <c r="BS74" i="1"/>
  <c r="DF72" i="1"/>
  <c r="AF18" i="1"/>
  <c r="CV164" i="1"/>
  <c r="AC20" i="1"/>
  <c r="CX163" i="1"/>
  <c r="CV101" i="1"/>
  <c r="CM101" i="1"/>
  <c r="CU101" i="1"/>
  <c r="Z28" i="1"/>
  <c r="DL133" i="1"/>
  <c r="DL135" i="1"/>
  <c r="DL129" i="1"/>
  <c r="DL130" i="1"/>
  <c r="DL132" i="1"/>
  <c r="DO135" i="1"/>
  <c r="DO130" i="1"/>
  <c r="DL134" i="1"/>
  <c r="DM215" i="1"/>
  <c r="DM213" i="1"/>
  <c r="DM210" i="1"/>
  <c r="EL12" i="1"/>
  <c r="DY83" i="1"/>
  <c r="CH110" i="1"/>
  <c r="CZ110" i="1"/>
  <c r="CZ116" i="1"/>
  <c r="EH83" i="1"/>
  <c r="EH92" i="1"/>
  <c r="DN175" i="1"/>
  <c r="DN173" i="1"/>
  <c r="DN168" i="1"/>
  <c r="DN167" i="1"/>
  <c r="DN170" i="1"/>
  <c r="CY173" i="1"/>
  <c r="DN135" i="1"/>
  <c r="DN133" i="1"/>
  <c r="DL128" i="1"/>
  <c r="DL127" i="1"/>
  <c r="DN214" i="1"/>
  <c r="DN213" i="1"/>
  <c r="DN210" i="1"/>
  <c r="DN212" i="1"/>
  <c r="DN211" i="1"/>
  <c r="DN215" i="1"/>
  <c r="DN209" i="1"/>
  <c r="DP227" i="1"/>
  <c r="DP226" i="1"/>
  <c r="FB71" i="1"/>
  <c r="FJ71" i="1"/>
  <c r="CX111" i="1"/>
  <c r="CM106" i="1"/>
  <c r="CU106" i="1"/>
  <c r="DJ130" i="1"/>
  <c r="DJ131" i="1"/>
  <c r="DJ129" i="1"/>
  <c r="DJ133" i="1"/>
  <c r="DO215" i="1"/>
  <c r="CI100" i="1"/>
  <c r="CY100" i="1"/>
  <c r="CH100" i="1"/>
  <c r="CZ100" i="1"/>
  <c r="CM112" i="1"/>
  <c r="CU112" i="1"/>
  <c r="CM114" i="1"/>
  <c r="CU114" i="1"/>
  <c r="CM113" i="1"/>
  <c r="CU113" i="1"/>
  <c r="CM111" i="1"/>
  <c r="CK100" i="1"/>
  <c r="CW100" i="1"/>
  <c r="CJ100" i="1"/>
  <c r="CX100" i="1"/>
  <c r="CL100" i="1"/>
  <c r="CV100" i="1"/>
  <c r="DL210" i="1"/>
  <c r="CM117" i="1"/>
  <c r="CU117" i="1"/>
  <c r="DN208" i="1"/>
  <c r="DN207" i="1"/>
  <c r="DY95" i="1"/>
  <c r="DY94" i="1"/>
  <c r="DY97" i="1"/>
  <c r="DY92" i="1"/>
  <c r="DY93" i="1"/>
  <c r="GA189" i="1"/>
  <c r="GM189" i="1"/>
  <c r="DY96" i="1"/>
  <c r="DY91" i="1"/>
  <c r="DP83" i="1"/>
  <c r="DP93" i="1"/>
  <c r="EH131" i="1"/>
  <c r="U37" i="1"/>
  <c r="DU113" i="1"/>
  <c r="Z23" i="1"/>
  <c r="Y22" i="1"/>
  <c r="Z25" i="1"/>
  <c r="EH125" i="1"/>
  <c r="DP95" i="1"/>
  <c r="EB61" i="1"/>
  <c r="EA56" i="1"/>
  <c r="EB59" i="1"/>
  <c r="EB57" i="1"/>
  <c r="EB56" i="1"/>
  <c r="EB60" i="1"/>
  <c r="EB58" i="1"/>
  <c r="EB62" i="1"/>
  <c r="DP96" i="1"/>
  <c r="DN130" i="1"/>
  <c r="DN128" i="1"/>
  <c r="DN127" i="1"/>
  <c r="DM209" i="1"/>
  <c r="DM208" i="1"/>
  <c r="DM207" i="1"/>
  <c r="DP97" i="1"/>
  <c r="EH98" i="1"/>
  <c r="DP94" i="1"/>
  <c r="EH96" i="1"/>
  <c r="EH129" i="1"/>
  <c r="EH97" i="1"/>
  <c r="DN172" i="1"/>
  <c r="DN169" i="1"/>
  <c r="CZ172" i="1"/>
  <c r="DM130" i="1"/>
  <c r="DM132" i="1"/>
  <c r="CY151" i="1"/>
  <c r="DM233" i="1"/>
  <c r="DP233" i="1"/>
  <c r="DN233" i="1"/>
  <c r="DI130" i="1"/>
  <c r="CI172" i="1"/>
  <c r="CI174" i="1"/>
  <c r="CY174" i="1"/>
  <c r="CI176" i="1"/>
  <c r="CY176" i="1"/>
  <c r="DY98" i="1"/>
  <c r="CI178" i="1"/>
  <c r="CY178" i="1"/>
  <c r="CI175" i="1"/>
  <c r="CY175" i="1"/>
  <c r="CI168" i="1"/>
  <c r="DP281" i="1"/>
  <c r="DM281" i="1"/>
  <c r="DX94" i="1"/>
  <c r="DX98" i="1"/>
  <c r="DS85" i="1"/>
  <c r="DW91" i="1"/>
  <c r="DW98" i="1"/>
  <c r="CK174" i="1"/>
  <c r="CL102" i="1"/>
  <c r="DT111" i="1"/>
  <c r="DW96" i="1"/>
  <c r="EF91" i="1"/>
  <c r="EF98" i="1"/>
  <c r="EF107" i="1"/>
  <c r="AC17" i="1"/>
  <c r="CY172" i="1"/>
  <c r="DM238" i="1"/>
  <c r="DP238" i="1"/>
  <c r="CV102" i="1"/>
  <c r="CY168" i="1"/>
  <c r="CW174" i="1"/>
  <c r="DI211" i="1"/>
  <c r="DI212" i="1"/>
  <c r="DI210" i="1"/>
  <c r="DI215" i="1"/>
  <c r="DI213" i="1"/>
  <c r="DU91" i="1"/>
  <c r="DM133" i="1"/>
  <c r="DM147" i="1"/>
  <c r="DM168" i="1"/>
  <c r="DM167" i="1"/>
  <c r="DP210" i="1"/>
  <c r="DP214" i="1"/>
  <c r="DP215" i="1"/>
  <c r="DP208" i="1"/>
  <c r="DP207" i="1"/>
  <c r="EX199" i="1"/>
  <c r="DP232" i="1"/>
  <c r="CJ173" i="1"/>
  <c r="CJ174" i="1"/>
  <c r="CX174" i="1"/>
  <c r="CJ177" i="1"/>
  <c r="CX177" i="1"/>
  <c r="CX151" i="1"/>
  <c r="CJ178" i="1"/>
  <c r="CX178" i="1"/>
  <c r="DK148" i="1"/>
  <c r="DI147" i="1"/>
  <c r="DI168" i="1"/>
  <c r="DI167" i="1"/>
  <c r="FM141" i="1"/>
  <c r="FB141" i="1"/>
  <c r="FJ141" i="1"/>
  <c r="FO133" i="1"/>
  <c r="EW131" i="1"/>
  <c r="FO131" i="1"/>
  <c r="FP133" i="1"/>
  <c r="EV131" i="1"/>
  <c r="FP131" i="1"/>
  <c r="DS106" i="1"/>
  <c r="DT106" i="1"/>
  <c r="DU106" i="1"/>
  <c r="CH104" i="1"/>
  <c r="CZ104" i="1"/>
  <c r="CU94" i="1"/>
  <c r="FM52" i="1"/>
  <c r="FB52" i="1"/>
  <c r="FJ52" i="1"/>
  <c r="EH95" i="1"/>
  <c r="EH93" i="1"/>
  <c r="DP91" i="1"/>
  <c r="DP98" i="1"/>
  <c r="DP92" i="1"/>
  <c r="DL212" i="1"/>
  <c r="CU90" i="1"/>
  <c r="DO213" i="1"/>
  <c r="DO212" i="1"/>
  <c r="DJ134" i="1"/>
  <c r="DJ132" i="1"/>
  <c r="DI208" i="1"/>
  <c r="DI207" i="1"/>
  <c r="CJ110" i="1"/>
  <c r="CX110" i="1"/>
  <c r="DL172" i="1"/>
  <c r="FB153" i="1"/>
  <c r="FJ153" i="1"/>
  <c r="DP132" i="1"/>
  <c r="DP209" i="1"/>
  <c r="DM135" i="1"/>
  <c r="DJ128" i="1"/>
  <c r="DJ127" i="1"/>
  <c r="CM115" i="1"/>
  <c r="CU115" i="1"/>
  <c r="DP213" i="1"/>
  <c r="DH87" i="1"/>
  <c r="DP130" i="1"/>
  <c r="DU92" i="1"/>
  <c r="FB58" i="1"/>
  <c r="FJ58" i="1"/>
  <c r="DO128" i="1"/>
  <c r="DO127" i="1"/>
  <c r="CK164" i="1"/>
  <c r="CW164" i="1"/>
  <c r="EC61" i="1"/>
  <c r="CL104" i="1"/>
  <c r="DL168" i="1"/>
  <c r="DL167" i="1"/>
  <c r="Z21" i="1"/>
  <c r="AF21" i="1"/>
  <c r="U20" i="1"/>
  <c r="CY111" i="1"/>
  <c r="CI110" i="1"/>
  <c r="CY110" i="1"/>
  <c r="GA333" i="1"/>
  <c r="FZ388" i="1"/>
  <c r="DR330" i="1"/>
  <c r="CH102" i="1"/>
  <c r="CZ102" i="1"/>
  <c r="CJ102" i="1"/>
  <c r="CI102" i="1"/>
  <c r="CY102" i="1"/>
  <c r="CK114" i="1"/>
  <c r="CW114" i="1"/>
  <c r="CK113" i="1"/>
  <c r="CW113" i="1"/>
  <c r="CK111" i="1"/>
  <c r="DJ86" i="1"/>
  <c r="DO94" i="1"/>
  <c r="DS88" i="1"/>
  <c r="DS87" i="1"/>
  <c r="CI171" i="1"/>
  <c r="CY171" i="1"/>
  <c r="EH132" i="1"/>
  <c r="CM105" i="1"/>
  <c r="CU105" i="1"/>
  <c r="EH127" i="1"/>
  <c r="CM100" i="1"/>
  <c r="CU100" i="1"/>
  <c r="CU111" i="1"/>
  <c r="DL215" i="1"/>
  <c r="DL214" i="1"/>
  <c r="DO210" i="1"/>
  <c r="DO209" i="1"/>
  <c r="DH187" i="1"/>
  <c r="DM227" i="1"/>
  <c r="DM226" i="1"/>
  <c r="CZ162" i="1"/>
  <c r="CM162" i="1"/>
  <c r="CU162" i="1"/>
  <c r="DU97" i="1"/>
  <c r="DU98" i="1"/>
  <c r="DU95" i="1"/>
  <c r="DI134" i="1"/>
  <c r="DI135" i="1"/>
  <c r="DO147" i="1"/>
  <c r="AF19" i="1"/>
  <c r="U18" i="1"/>
  <c r="DM301" i="1"/>
  <c r="DL301" i="1"/>
  <c r="GO199" i="1"/>
  <c r="FY189" i="1"/>
  <c r="GO189" i="1"/>
  <c r="DL171" i="1"/>
  <c r="DL175" i="1"/>
  <c r="DL174" i="1"/>
  <c r="FQ133" i="1"/>
  <c r="EU131" i="1"/>
  <c r="GO119" i="1"/>
  <c r="FY109" i="1"/>
  <c r="GO109" i="1"/>
  <c r="DT107" i="1"/>
  <c r="DU107" i="1"/>
  <c r="DO228" i="1"/>
  <c r="DH108" i="1"/>
  <c r="DO132" i="1"/>
  <c r="DO129" i="1"/>
  <c r="CU97" i="1"/>
  <c r="CJ107" i="1"/>
  <c r="CX57" i="1"/>
  <c r="CJ56" i="1"/>
  <c r="CX56" i="1"/>
  <c r="CK171" i="1"/>
  <c r="CW171" i="1"/>
  <c r="CM168" i="1"/>
  <c r="CU168" i="1"/>
  <c r="CM151" i="1"/>
  <c r="EH94" i="1"/>
  <c r="EH128" i="1"/>
  <c r="EH91" i="1"/>
  <c r="DL211" i="1"/>
  <c r="DL213" i="1"/>
  <c r="DO214" i="1"/>
  <c r="DI209" i="1"/>
  <c r="DO131" i="1"/>
  <c r="CM163" i="1"/>
  <c r="CU163" i="1"/>
  <c r="DI128" i="1"/>
  <c r="DI127" i="1"/>
  <c r="DL208" i="1"/>
  <c r="DL207" i="1"/>
  <c r="DI131" i="1"/>
  <c r="DO134" i="1"/>
  <c r="CI107" i="1"/>
  <c r="CY107" i="1"/>
  <c r="DP273" i="1"/>
  <c r="DO208" i="1"/>
  <c r="DO207" i="1"/>
  <c r="DP212" i="1"/>
  <c r="DL173" i="1"/>
  <c r="DI214" i="1"/>
  <c r="DM129" i="1"/>
  <c r="EZ131" i="1"/>
  <c r="FL131" i="1"/>
  <c r="CJ164" i="1"/>
  <c r="BU51" i="1"/>
  <c r="BT51" i="1"/>
  <c r="DS107" i="1"/>
  <c r="U28" i="1"/>
  <c r="AA28" i="1"/>
  <c r="Z30" i="1"/>
  <c r="DU93" i="1"/>
  <c r="EC126" i="1"/>
  <c r="CK104" i="1"/>
  <c r="CW104" i="1"/>
  <c r="DJ187" i="1"/>
  <c r="DJ208" i="1"/>
  <c r="DJ207" i="1"/>
  <c r="CJ175" i="1"/>
  <c r="CX175" i="1"/>
  <c r="GO80" i="1"/>
  <c r="GA331" i="1"/>
  <c r="FY330" i="1"/>
  <c r="FY328" i="1"/>
  <c r="FM171" i="1"/>
  <c r="FN171" i="1"/>
  <c r="DI172" i="1"/>
  <c r="DH86" i="1"/>
  <c r="DM94" i="1"/>
  <c r="ED94" i="1"/>
  <c r="U26" i="1"/>
  <c r="AB25" i="1"/>
  <c r="FW273" i="1"/>
  <c r="FW271" i="1"/>
  <c r="EC125" i="1"/>
  <c r="EC127" i="1"/>
  <c r="GA152" i="1"/>
  <c r="FZ152" i="1"/>
  <c r="FY152" i="1"/>
  <c r="FX152" i="1"/>
  <c r="CH177" i="1"/>
  <c r="CZ177" i="1"/>
  <c r="CH173" i="1"/>
  <c r="EB124" i="1"/>
  <c r="EE141" i="1"/>
  <c r="DO281" i="1"/>
  <c r="DO271" i="1"/>
  <c r="DP133" i="1"/>
  <c r="DS111" i="1"/>
  <c r="DJ76" i="1"/>
  <c r="FW152" i="1"/>
  <c r="EA59" i="1"/>
  <c r="EC91" i="1"/>
  <c r="EC93" i="1"/>
  <c r="DF76" i="1"/>
  <c r="DU111" i="1"/>
  <c r="DT94" i="1"/>
  <c r="DT93" i="1"/>
  <c r="U34" i="1"/>
  <c r="EB123" i="1"/>
  <c r="EE140" i="1"/>
  <c r="DS113" i="1"/>
  <c r="DS112" i="1"/>
  <c r="DJ72" i="1"/>
  <c r="AA23" i="1"/>
  <c r="Y23" i="1"/>
  <c r="FX273" i="1"/>
  <c r="FX271" i="1"/>
  <c r="DU114" i="1"/>
  <c r="DN281" i="1"/>
  <c r="DK281" i="1"/>
  <c r="DJ70" i="1"/>
  <c r="DJ69" i="1"/>
  <c r="Z24" i="1"/>
  <c r="DS90" i="1"/>
  <c r="DJ90" i="1"/>
  <c r="AE18" i="1"/>
  <c r="AE22" i="1"/>
  <c r="FX388" i="1"/>
  <c r="Z26" i="1"/>
  <c r="DS84" i="1"/>
  <c r="DS83" i="1"/>
  <c r="DS86" i="1"/>
  <c r="Y17" i="1"/>
  <c r="FV173" i="1"/>
  <c r="DJ84" i="1"/>
  <c r="DJ83" i="1"/>
  <c r="FX386" i="1"/>
  <c r="GA273" i="1"/>
  <c r="AB27" i="1"/>
  <c r="AB28" i="1"/>
  <c r="AA27" i="1"/>
  <c r="AB44" i="1"/>
  <c r="AC26" i="1"/>
  <c r="AA24" i="1"/>
  <c r="Y24" i="1"/>
  <c r="AB24" i="1"/>
  <c r="AB23" i="1"/>
  <c r="Y25" i="1"/>
  <c r="AB45" i="1"/>
  <c r="AB19" i="1"/>
  <c r="AB18" i="1"/>
  <c r="AA25" i="1"/>
  <c r="AA26" i="1"/>
  <c r="EB118" i="1"/>
  <c r="Y26" i="1"/>
  <c r="DN271" i="1"/>
  <c r="EB84" i="1"/>
  <c r="EB90" i="1"/>
  <c r="EE107" i="1"/>
  <c r="Y30" i="1"/>
  <c r="DS114" i="1"/>
  <c r="DL284" i="1"/>
  <c r="FW172" i="1"/>
  <c r="DU112" i="1"/>
  <c r="DL283" i="1"/>
  <c r="AA30" i="1"/>
  <c r="Z27" i="1"/>
  <c r="CM173" i="1"/>
  <c r="CU173" i="1"/>
  <c r="CM175" i="1"/>
  <c r="CU175" i="1"/>
  <c r="CI161" i="1"/>
  <c r="CY161" i="1"/>
  <c r="CM177" i="1"/>
  <c r="CU177" i="1"/>
  <c r="CL161" i="1"/>
  <c r="CM172" i="1"/>
  <c r="CJ161" i="1"/>
  <c r="CX161" i="1"/>
  <c r="CH161" i="1"/>
  <c r="CZ161" i="1"/>
  <c r="CM174" i="1"/>
  <c r="CU174" i="1"/>
  <c r="CU151" i="1"/>
  <c r="CK161" i="1"/>
  <c r="CW161" i="1"/>
  <c r="CM178" i="1"/>
  <c r="CU178" i="1"/>
  <c r="CM176" i="1"/>
  <c r="CU176" i="1"/>
  <c r="DO173" i="1"/>
  <c r="DO174" i="1"/>
  <c r="DO169" i="1"/>
  <c r="DO175" i="1"/>
  <c r="DO171" i="1"/>
  <c r="CK110" i="1"/>
  <c r="CW110" i="1"/>
  <c r="CW111" i="1"/>
  <c r="CX102" i="1"/>
  <c r="CM102" i="1"/>
  <c r="CU102" i="1"/>
  <c r="AC21" i="1"/>
  <c r="AE21" i="1"/>
  <c r="Y20" i="1"/>
  <c r="Y21" i="1"/>
  <c r="CV104" i="1"/>
  <c r="CM104" i="1"/>
  <c r="CU104" i="1"/>
  <c r="DO170" i="1"/>
  <c r="AA20" i="1"/>
  <c r="CH171" i="1"/>
  <c r="CZ171" i="1"/>
  <c r="CZ173" i="1"/>
  <c r="GA330" i="1"/>
  <c r="FZ386" i="1"/>
  <c r="DJ213" i="1"/>
  <c r="DJ215" i="1"/>
  <c r="DJ211" i="1"/>
  <c r="DJ214" i="1"/>
  <c r="DJ212" i="1"/>
  <c r="DJ209" i="1"/>
  <c r="CX164" i="1"/>
  <c r="CM164" i="1"/>
  <c r="CU164" i="1"/>
  <c r="DM273" i="1"/>
  <c r="DL273" i="1"/>
  <c r="DP271" i="1"/>
  <c r="DM271" i="1"/>
  <c r="CX107" i="1"/>
  <c r="CM107" i="1"/>
  <c r="CU107" i="1"/>
  <c r="DH107" i="1"/>
  <c r="DO227" i="1"/>
  <c r="DO226" i="1"/>
  <c r="DH128" i="1"/>
  <c r="DH127" i="1"/>
  <c r="Y18" i="1"/>
  <c r="AC19" i="1"/>
  <c r="AE19" i="1"/>
  <c r="DH215" i="1"/>
  <c r="DH211" i="1"/>
  <c r="DH213" i="1"/>
  <c r="DH208" i="1"/>
  <c r="DH207" i="1"/>
  <c r="DH209" i="1"/>
  <c r="DH210" i="1"/>
  <c r="DH214" i="1"/>
  <c r="DH212" i="1"/>
  <c r="DK147" i="1"/>
  <c r="DK168" i="1"/>
  <c r="DK167" i="1"/>
  <c r="CM110" i="1"/>
  <c r="CU110" i="1"/>
  <c r="DL281" i="1"/>
  <c r="CX173" i="1"/>
  <c r="CJ171" i="1"/>
  <c r="CX171" i="1"/>
  <c r="DM175" i="1"/>
  <c r="DM174" i="1"/>
  <c r="DM169" i="1"/>
  <c r="DM170" i="1"/>
  <c r="DM171" i="1"/>
  <c r="DM172" i="1"/>
  <c r="DM173" i="1"/>
  <c r="DJ210" i="1"/>
  <c r="Y19" i="1"/>
  <c r="AC25" i="1"/>
  <c r="AA21" i="1"/>
  <c r="FQ131" i="1"/>
  <c r="FB131" i="1"/>
  <c r="FJ131" i="1"/>
  <c r="DO168" i="1"/>
  <c r="DO167" i="1"/>
  <c r="DO172" i="1"/>
  <c r="DI170" i="1"/>
  <c r="DI174" i="1"/>
  <c r="DI175" i="1"/>
  <c r="DI171" i="1"/>
  <c r="DI169" i="1"/>
  <c r="DI173" i="1"/>
  <c r="AD25" i="1"/>
  <c r="AC44" i="1"/>
  <c r="EB83" i="1"/>
  <c r="EE102" i="1"/>
  <c r="EB117" i="1"/>
  <c r="EE136" i="1"/>
  <c r="EE142" i="1"/>
  <c r="DL271" i="1"/>
  <c r="DK271" i="1"/>
  <c r="FX385" i="1"/>
  <c r="GA271" i="1"/>
  <c r="FX383" i="1"/>
  <c r="DH132" i="1"/>
  <c r="DH134" i="1"/>
  <c r="DH131" i="1"/>
  <c r="DH129" i="1"/>
  <c r="DH133" i="1"/>
  <c r="DH130" i="1"/>
  <c r="DH135" i="1"/>
  <c r="DK171" i="1"/>
  <c r="DK175" i="1"/>
  <c r="DK173" i="1"/>
  <c r="DK174" i="1"/>
  <c r="DK172" i="1"/>
  <c r="DK169" i="1"/>
  <c r="DK170" i="1"/>
  <c r="CU172" i="1"/>
  <c r="CM171" i="1"/>
  <c r="CU171" i="1"/>
  <c r="GA328" i="1"/>
  <c r="FZ383" i="1"/>
  <c r="FZ385" i="1"/>
  <c r="CV161" i="1"/>
  <c r="CM161" i="1"/>
  <c r="CU161" i="1"/>
</calcChain>
</file>

<file path=xl/comments1.xml><?xml version="1.0" encoding="utf-8"?>
<comments xmlns="http://schemas.openxmlformats.org/spreadsheetml/2006/main">
  <authors>
    <author>Hava</author>
    <author>Leeor</author>
  </authors>
  <commentList>
    <comment ref="O19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בקובץ הישן היתה טעות - היתה תוספת של 1147 סטודנטים (ב"ג ות"א) שכבר נכללים באיזוריות</t>
        </r>
      </text>
    </comment>
    <comment ref="B24" authorId="1" shapeId="0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כולל 413 במכללה למינהל</t>
        </r>
      </text>
    </comment>
    <comment ref="B25" authorId="1" shapeId="0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כולל 459 במכללה למינהל. 
</t>
        </r>
        <r>
          <rPr>
            <b/>
            <sz val="8"/>
            <color indexed="81"/>
            <rFont val="Tahoma"/>
            <family val="2"/>
          </rPr>
          <t>לא כולל 36</t>
        </r>
        <r>
          <rPr>
            <sz val="8"/>
            <color indexed="81"/>
            <rFont val="Tahoma"/>
            <family val="2"/>
          </rPr>
          <t xml:space="preserve"> באקדמיה למוסיקה - (תעודת אמן</t>
        </r>
      </text>
    </comment>
    <comment ref="B26" authorId="1" shapeId="0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כולל 585 במכללה למינהל. 
</t>
        </r>
        <r>
          <rPr>
            <b/>
            <sz val="8"/>
            <color indexed="81"/>
            <rFont val="Tahoma"/>
            <family val="2"/>
          </rPr>
          <t>לא כולל 20</t>
        </r>
        <r>
          <rPr>
            <sz val="8"/>
            <color indexed="81"/>
            <rFont val="Tahoma"/>
            <family val="2"/>
          </rPr>
          <t xml:space="preserve"> באקדמיה למוסיקה - (תעודת אמן</t>
        </r>
      </text>
    </comment>
    <comment ref="B27" authorId="1" shapeId="0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כולל תואר שני במכללה
 למינהל - 767
ו - 65 בבינתחומי בהרצליה ו - 14 באקדמיה ל -M.Mus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1280 - כולל תואר שני בשש מכללות</t>
        </r>
      </text>
    </comment>
    <comment ref="O28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כולל אילת מתשס"ג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כולל מכללות והקמפוס (של ב"ג באילת (46</t>
        </r>
      </text>
    </comment>
  </commentList>
</comments>
</file>

<file path=xl/sharedStrings.xml><?xml version="1.0" encoding="utf-8"?>
<sst xmlns="http://schemas.openxmlformats.org/spreadsheetml/2006/main" count="1918" uniqueCount="407">
  <si>
    <t>Table 1:</t>
  </si>
  <si>
    <t>לוח 1:</t>
  </si>
  <si>
    <t>Students in Institutions of Higher Education(1) by Level of Degree</t>
  </si>
  <si>
    <t>תש"ט - תשנ"ח</t>
  </si>
  <si>
    <t>1948/49 - 1996/97</t>
  </si>
  <si>
    <t xml:space="preserve">סטודנטים באוניברסיטאות (1), לפי מוסד ותואר </t>
  </si>
  <si>
    <t xml:space="preserve"> Students in Universities(1) by Institution and Level of Degree</t>
  </si>
  <si>
    <t>תשנ"א</t>
  </si>
  <si>
    <t xml:space="preserve">       Students in Universities, by Level of Degree and Institution</t>
  </si>
  <si>
    <t>סטודנטים באוניברסיטאות(1), לפי תחום לימודים ותואר</t>
  </si>
  <si>
    <t>Students(1) in Universities by Level of Degree and Field of Study</t>
  </si>
  <si>
    <t xml:space="preserve"> סטודנטים באוניברסיטאות לפי מוסד ותחום לימודים</t>
  </si>
  <si>
    <t>1990/91</t>
  </si>
  <si>
    <t>Table 3.7</t>
  </si>
  <si>
    <t>סטודנטים באוניברסיטאות(1) לפי תואר ותחום לימודים</t>
  </si>
  <si>
    <t xml:space="preserve">תואר </t>
  </si>
  <si>
    <t>Level of degree</t>
  </si>
  <si>
    <t>תשנ"ז</t>
  </si>
  <si>
    <t>by Level of Degree and Type of Institution</t>
  </si>
  <si>
    <t xml:space="preserve">לפי תואר וסוג מוסד </t>
  </si>
  <si>
    <t xml:space="preserve">     1980/81 - 1995/96</t>
  </si>
  <si>
    <t xml:space="preserve">      תואר ראשון</t>
  </si>
  <si>
    <t>Bachelor's degree</t>
  </si>
  <si>
    <t>מוסד</t>
  </si>
  <si>
    <t>Institution</t>
  </si>
  <si>
    <t>1974/75 - 1996/97</t>
  </si>
  <si>
    <t>מכון</t>
  </si>
  <si>
    <t>אוניברסיטת</t>
  </si>
  <si>
    <t>Ben-Gurion</t>
  </si>
  <si>
    <t>Weizmann</t>
  </si>
  <si>
    <t>ראשון</t>
  </si>
  <si>
    <t>תואר</t>
  </si>
  <si>
    <t>:מזה</t>
  </si>
  <si>
    <t>Thereof:</t>
  </si>
  <si>
    <t>תשנ"ח</t>
  </si>
  <si>
    <t>תשנ"ו</t>
  </si>
  <si>
    <t>תשנ"ה</t>
  </si>
  <si>
    <t>תשנ"ד</t>
  </si>
  <si>
    <t>(2)תשנ"ג</t>
  </si>
  <si>
    <t>תשנ"ב</t>
  </si>
  <si>
    <t>תש"ן</t>
  </si>
  <si>
    <t>תשמ"ט</t>
  </si>
  <si>
    <t>תשמ"ח</t>
  </si>
  <si>
    <t>תשמ"ז</t>
  </si>
  <si>
    <t>תשמ"ו</t>
  </si>
  <si>
    <t>תשמ"ה</t>
  </si>
  <si>
    <t>תש"ם</t>
  </si>
  <si>
    <t>תשל"ה</t>
  </si>
  <si>
    <t>תחום לימודים</t>
  </si>
  <si>
    <t>ויצמן</t>
  </si>
  <si>
    <t>בן-גוריון</t>
  </si>
  <si>
    <t>האוניברסיטה</t>
  </si>
  <si>
    <t>Hebrew</t>
  </si>
  <si>
    <t>Tel-Aviv</t>
  </si>
  <si>
    <t>Bar-Ilan</t>
  </si>
  <si>
    <t>Haifa</t>
  </si>
  <si>
    <t xml:space="preserve">University </t>
  </si>
  <si>
    <t>Institute of</t>
  </si>
  <si>
    <t>Level of degree and type of institution</t>
  </si>
  <si>
    <t>שנה</t>
  </si>
  <si>
    <t>Grand</t>
  </si>
  <si>
    <t xml:space="preserve">Freshman </t>
  </si>
  <si>
    <t>Master's</t>
  </si>
  <si>
    <t>Univ. of</t>
  </si>
  <si>
    <t>סך כולל</t>
  </si>
  <si>
    <t>למדע</t>
  </si>
  <si>
    <t>בנגב</t>
  </si>
  <si>
    <t>חיפה</t>
  </si>
  <si>
    <t>בר-אילן</t>
  </si>
  <si>
    <t>תל-אביב</t>
  </si>
  <si>
    <t>הטכניון</t>
  </si>
  <si>
    <t>העברית</t>
  </si>
  <si>
    <t>סה"כ</t>
  </si>
  <si>
    <t>תחום הלימודים</t>
  </si>
  <si>
    <t>Field of study</t>
  </si>
  <si>
    <t>Total</t>
  </si>
  <si>
    <t>University</t>
  </si>
  <si>
    <t>Technion</t>
  </si>
  <si>
    <t>of the Negev</t>
  </si>
  <si>
    <t>Science</t>
  </si>
  <si>
    <t xml:space="preserve">סטודנטים לתארים מתקדמים </t>
  </si>
  <si>
    <t>אוניברסיטאות</t>
  </si>
  <si>
    <t xml:space="preserve">     Undergraduate students at:</t>
  </si>
  <si>
    <t>תכניות מיוחדות</t>
  </si>
  <si>
    <t>תעודה</t>
  </si>
  <si>
    <t>תואר שלישי</t>
  </si>
  <si>
    <t>תואר שני</t>
  </si>
  <si>
    <t>ראשונה</t>
  </si>
  <si>
    <t>total</t>
  </si>
  <si>
    <t>year</t>
  </si>
  <si>
    <t>degree</t>
  </si>
  <si>
    <t>Doctorate</t>
  </si>
  <si>
    <t>Diploma</t>
  </si>
  <si>
    <t>Univ.</t>
  </si>
  <si>
    <t>the Negev</t>
  </si>
  <si>
    <t>שלישי</t>
  </si>
  <si>
    <t>שני</t>
  </si>
  <si>
    <t>שנה ראשונה</t>
  </si>
  <si>
    <t>Freshman year</t>
  </si>
  <si>
    <t xml:space="preserve">Postgraduate students </t>
  </si>
  <si>
    <t>Universities</t>
  </si>
  <si>
    <t>Grand total</t>
  </si>
  <si>
    <t>Teacher</t>
  </si>
  <si>
    <t>Postgraduate</t>
  </si>
  <si>
    <t xml:space="preserve"> 1974/75</t>
  </si>
  <si>
    <t>1979/80</t>
  </si>
  <si>
    <t>1984/85</t>
  </si>
  <si>
    <t>1985/86</t>
  </si>
  <si>
    <t>1986/87</t>
  </si>
  <si>
    <t>1987/88</t>
  </si>
  <si>
    <t>1988/89</t>
  </si>
  <si>
    <t>1989/90</t>
  </si>
  <si>
    <t>1991/92</t>
  </si>
  <si>
    <t>1992/93</t>
  </si>
  <si>
    <t>1993/94</t>
  </si>
  <si>
    <t>1994/95</t>
  </si>
  <si>
    <t>1995/96</t>
  </si>
  <si>
    <t>1996/97</t>
  </si>
  <si>
    <t>Univer-</t>
  </si>
  <si>
    <t>Regional</t>
  </si>
  <si>
    <t>training</t>
  </si>
  <si>
    <t>Other</t>
  </si>
  <si>
    <t>students at</t>
  </si>
  <si>
    <t>(3)</t>
  </si>
  <si>
    <t>-</t>
  </si>
  <si>
    <t>(2)</t>
  </si>
  <si>
    <t>תש"ט</t>
  </si>
  <si>
    <t>1948/49</t>
  </si>
  <si>
    <t>תש"ל</t>
  </si>
  <si>
    <t>1969/70</t>
  </si>
  <si>
    <t>מדעי הרוח -סה"כ</t>
  </si>
  <si>
    <t>Year</t>
  </si>
  <si>
    <t>sities</t>
  </si>
  <si>
    <t>colleges</t>
  </si>
  <si>
    <t>institutions</t>
  </si>
  <si>
    <t>universities(3)</t>
  </si>
  <si>
    <t>תש"י</t>
  </si>
  <si>
    <t>1949/50</t>
  </si>
  <si>
    <t>1974/75</t>
  </si>
  <si>
    <t>Humanities - total</t>
  </si>
  <si>
    <t>1980/81</t>
  </si>
  <si>
    <t>..</t>
  </si>
  <si>
    <t>תשמ"א</t>
  </si>
  <si>
    <t>(4)</t>
  </si>
  <si>
    <t>האוניברסיטה העברית</t>
  </si>
  <si>
    <t>Hebrew University</t>
  </si>
  <si>
    <t>מדעי הרוח הכלליים</t>
  </si>
  <si>
    <t>1983/84</t>
  </si>
  <si>
    <t>(2)861</t>
  </si>
  <si>
    <t>אוניברסיטת חיפה</t>
  </si>
  <si>
    <t>Haifa University</t>
  </si>
  <si>
    <t>תכניות מיוחדות ושונות</t>
  </si>
  <si>
    <t xml:space="preserve">       -</t>
  </si>
  <si>
    <t>אמנות, אומנויות ואמנות שימושית</t>
  </si>
  <si>
    <t xml:space="preserve"> Arts, crafts and applied arts</t>
  </si>
  <si>
    <t>חינוך והכשרה להוראה</t>
  </si>
  <si>
    <t xml:space="preserve"> Education and teacher training</t>
  </si>
  <si>
    <t>שפות, ספרויות ולימודים רגיונליים</t>
  </si>
  <si>
    <t>Students in Institutions of Higher Education</t>
  </si>
  <si>
    <t>1988/89@</t>
  </si>
  <si>
    <t>תשמ"ב</t>
  </si>
  <si>
    <t>תשנ"ג</t>
  </si>
  <si>
    <t>עסקים ומדעי הניהול</t>
  </si>
  <si>
    <t>Law</t>
  </si>
  <si>
    <t xml:space="preserve"> מדעי החברה</t>
  </si>
  <si>
    <t xml:space="preserve"> Social sciences</t>
  </si>
  <si>
    <t>מדעי החברה - סה"כ</t>
  </si>
  <si>
    <t>תשמ"ג</t>
  </si>
  <si>
    <t>Medicine - total</t>
  </si>
  <si>
    <t xml:space="preserve"> Business and management</t>
  </si>
  <si>
    <t xml:space="preserve">1991/92 </t>
  </si>
  <si>
    <t>תשמ"ד</t>
  </si>
  <si>
    <t>משפטים</t>
  </si>
  <si>
    <t xml:space="preserve">-  </t>
  </si>
  <si>
    <t xml:space="preserve"> Business and administration</t>
  </si>
  <si>
    <t>אוניברסיטת תל-אביב</t>
  </si>
  <si>
    <t>Tel-Aviv University</t>
  </si>
  <si>
    <t>אוניברסיטת בר-אילן</t>
  </si>
  <si>
    <t>Bar-Ilan University</t>
  </si>
  <si>
    <t>רפואה - סה"כ</t>
  </si>
  <si>
    <t>Mathematics and natural sciences - total</t>
  </si>
  <si>
    <t>Agriculture</t>
  </si>
  <si>
    <t>Physical sciences</t>
  </si>
  <si>
    <t>אוניברסיטת בן-גוריון בנגב</t>
  </si>
  <si>
    <t>Ben-Gurion University of the Negev</t>
  </si>
  <si>
    <t>רפואה</t>
  </si>
  <si>
    <t>תואר ראשון</t>
  </si>
  <si>
    <t>מכון ויצמן למדע</t>
  </si>
  <si>
    <t>Weizmann Institute of Science</t>
  </si>
  <si>
    <t>מקצועות עזר רפואיים</t>
  </si>
  <si>
    <t xml:space="preserve"> Medicine</t>
  </si>
  <si>
    <t>1997/98</t>
  </si>
  <si>
    <t xml:space="preserve"> Para-medical studies</t>
  </si>
  <si>
    <t>1998/99</t>
  </si>
  <si>
    <t>תשנ"ט</t>
  </si>
  <si>
    <t>99/2000</t>
  </si>
  <si>
    <t>תש"ס</t>
  </si>
  <si>
    <t>2000/01</t>
  </si>
  <si>
    <t xml:space="preserve">תשס"א </t>
  </si>
  <si>
    <t>2001/02</t>
  </si>
  <si>
    <t>תשס"ב</t>
  </si>
  <si>
    <t>2002/03</t>
  </si>
  <si>
    <t>תשס"ג</t>
  </si>
  <si>
    <t>2003/04</t>
  </si>
  <si>
    <t>תשס"ד</t>
  </si>
  <si>
    <t>Notes:</t>
  </si>
  <si>
    <t>הערות:</t>
  </si>
  <si>
    <t>מתמטיקה ומדעי הטבע - סה"כ</t>
  </si>
  <si>
    <t>Engineering and architecture</t>
  </si>
  <si>
    <t>(2)רפואה</t>
  </si>
  <si>
    <t>מתמטיקה, סטטיסטיקה ומדעי המחשב</t>
  </si>
  <si>
    <t>המדעים הפיסיקליים</t>
  </si>
  <si>
    <t xml:space="preserve"> Mathematics, statistics and computer sciences</t>
  </si>
  <si>
    <t>המדעים הביולוגיים</t>
  </si>
  <si>
    <t xml:space="preserve"> Physical sciences</t>
  </si>
  <si>
    <t xml:space="preserve"> Biological sciences</t>
  </si>
  <si>
    <t>הנדסה ואדריכלות</t>
  </si>
  <si>
    <t>חקלאות</t>
  </si>
  <si>
    <t>Social sciences - total</t>
  </si>
  <si>
    <t>.3.1 הסטודנטים של המוסד האונברסיטאי האחראית אקדמית למכללה. ראה הערה 2 ללוח</t>
  </si>
  <si>
    <t>תש"ן, תשנ"ב ותשנ"ג</t>
  </si>
  <si>
    <t>1. Including students in academic tracks of regional colleges appearing in the Students</t>
  </si>
  <si>
    <t xml:space="preserve">   File of the universities. See footnote 2 to Table 3.1.</t>
  </si>
  <si>
    <t>סה"כ סטודנטים לפי תחום לימודים תש"ם, תשנ"ב</t>
  </si>
  <si>
    <t>שעור גידול</t>
  </si>
  <si>
    <t>3.7 לוח</t>
  </si>
  <si>
    <t xml:space="preserve"> מדעי הרוח</t>
  </si>
  <si>
    <t xml:space="preserve"> Students in Universities(1) by Level of Degree and Field of Study </t>
  </si>
  <si>
    <t>Students in Universities by Institution</t>
  </si>
  <si>
    <t>1989/90, 1990/91, 1991/92</t>
  </si>
  <si>
    <t>המדעים החיים</t>
  </si>
  <si>
    <t>1. כולל סטודנטים שלמדו במכללות איזוריות ומופיעים בקובצי</t>
  </si>
  <si>
    <t xml:space="preserve"> General humanities</t>
  </si>
  <si>
    <t xml:space="preserve"> Languages, literature and regional studies</t>
  </si>
  <si>
    <t xml:space="preserve"> Special courses and miscellaneous</t>
  </si>
  <si>
    <t xml:space="preserve">                                סה"כ</t>
  </si>
  <si>
    <t>3.6 לוח</t>
  </si>
  <si>
    <t>Table 3.6</t>
  </si>
  <si>
    <t xml:space="preserve"> סטודנטים באוניברסיטאות(1) לפי מוסד ותחום לימודים</t>
  </si>
  <si>
    <t>Students in Universities(1) by Institution and Field of Study</t>
  </si>
  <si>
    <t>מתמטיקה ומדעי הטבע</t>
  </si>
  <si>
    <t xml:space="preserve"> Medicine(2)</t>
  </si>
  <si>
    <t>הנדסה</t>
  </si>
  <si>
    <t>3.4 לוח</t>
  </si>
  <si>
    <t>(2)תל-אביב</t>
  </si>
  <si>
    <t>סטודנטים באוניברסיטאות(1), לפי תואר ומוסד</t>
  </si>
  <si>
    <t>Table 3.4</t>
  </si>
  <si>
    <t xml:space="preserve">    Students(1) in Universities, by Level of Degree and Institution</t>
  </si>
  <si>
    <t>מספרים מוחלטים</t>
  </si>
  <si>
    <t>Absolute numbers</t>
  </si>
  <si>
    <t>אחוזים</t>
  </si>
  <si>
    <t>Percentages</t>
  </si>
  <si>
    <t>.(2. כולל "תוכנית ניו יורק" לתואר דוקטור ברפואה (240 סטודנטים</t>
  </si>
  <si>
    <t>2. Including the "New York Program" towards an M.D. degree (240 students).</t>
  </si>
  <si>
    <t>שינוי</t>
  </si>
  <si>
    <t>Source: Israel Central Bureau of Statistics</t>
  </si>
  <si>
    <t>* At constant 1990 prices.</t>
  </si>
  <si>
    <t>יש עוד למטה</t>
  </si>
  <si>
    <t>1 תואר</t>
  </si>
  <si>
    <t>מוס אחר</t>
  </si>
  <si>
    <t>מדעי הרוח</t>
  </si>
  <si>
    <t>מדעי החברה</t>
  </si>
  <si>
    <t>רפואה ומקצועות עזר רפואיים</t>
  </si>
  <si>
    <t>[עבור תשנ"ה ראה ימינה]</t>
  </si>
  <si>
    <t>סטודנטים לתואר ראשון במוסדות להשכלה גבוהה</t>
  </si>
  <si>
    <t>סטודנטים במוסדות להשכלה גבוהה לפי תואר ותחום</t>
  </si>
  <si>
    <t>29 - 20 לפי תחום לימודים כאחוז מגילאי</t>
  </si>
  <si>
    <t>( סטודנטים לפי תחום (מדעי חיים כולל רפואה, מדעי הטבע הביולוגיים וחקלאות</t>
  </si>
  <si>
    <t>מדעי טבע</t>
  </si>
  <si>
    <t>מדעי חברה</t>
  </si>
  <si>
    <t>רוח</t>
  </si>
  <si>
    <t>(תואר ושנה (לא כולל סטודנטים במכון ויצמן וסטודנטים לתואר שני ברפואה</t>
  </si>
  <si>
    <t>וטכנולוגיה</t>
  </si>
  <si>
    <t>רוח ומשפ</t>
  </si>
  <si>
    <t>20-29</t>
  </si>
  <si>
    <t>20-24</t>
  </si>
  <si>
    <t>חברה</t>
  </si>
  <si>
    <t>מדעי רוח, חברה ומשפטים</t>
  </si>
  <si>
    <t>מדעי טבע וטכנולוגיה</t>
  </si>
  <si>
    <t>טבע</t>
  </si>
  <si>
    <t>3 לוח</t>
  </si>
  <si>
    <t>סטודנטים שנה א' לתואר ראשון בתחומי מדעי הטבע והטכנולוגיה</t>
  </si>
  <si>
    <t>לפי סוג מוסד תשנ"א - תשנ"ו</t>
  </si>
  <si>
    <t>סוג מוסד ותחום</t>
  </si>
  <si>
    <t>מזה: הנדסת חשמל ואלקטרוניקה</t>
  </si>
  <si>
    <t>ב. מוסדות אחרים</t>
  </si>
  <si>
    <t>הנדסה ומדעי הטבע</t>
  </si>
  <si>
    <t>יורדים</t>
  </si>
  <si>
    <t>מזה: מחשבים</t>
  </si>
  <si>
    <t>*ג. האוניברסיטה הפתוחה</t>
  </si>
  <si>
    <t>.לא כלול בסך כולל *</t>
  </si>
  <si>
    <t>סטודנטים בטכניון לפי תחום לימודים</t>
  </si>
  <si>
    <t>תשנ"א - תשנ"ו</t>
  </si>
  <si>
    <t>סטודנטים באוניברסיטאות לפי תואר ותחום</t>
  </si>
  <si>
    <t>.(2. כולל "תוכנית ניו יורק" לתואר דוקטור ברפואה באוניברסיטת תל-אביב (273 סטודנטים</t>
  </si>
  <si>
    <t>עדכון לתשנ"ז מופיע ימינה ולמעלה</t>
  </si>
  <si>
    <t>MSC-הנחנו ש-100 סטודנטים לתואר שני ברפואה לומדים ל</t>
  </si>
  <si>
    <t>(152+14)הורדנו אורנים (553) לפי מדעי הרוח (152+7) חינוך</t>
  </si>
  <si>
    <t>.(147+4)מתמטיקה(74+3) וביולוגיה</t>
  </si>
  <si>
    <t>(10%)הורדנו סטודנטים במכללות (1973) לפי רוח(%60) חינוך</t>
  </si>
  <si>
    <t>(30%)וחברה</t>
  </si>
  <si>
    <t>.(750) הורדנו את מכון ויצמן למדע</t>
  </si>
  <si>
    <t>סטודנטים למדע ולטכנולוגיה לפי תואר, מגזר ותחום לימודים</t>
  </si>
  <si>
    <t>סטודנטים לתואר ראשון במוסדות להשכלה גבוהה לפי תחום לימודים</t>
  </si>
  <si>
    <t>תשל"ה - תשנ"ה</t>
  </si>
  <si>
    <t>שעור שינוי</t>
  </si>
  <si>
    <t>- תשל"ה</t>
  </si>
  <si>
    <t>- תשמ"ה</t>
  </si>
  <si>
    <t>מגזר ותחום לימודים</t>
  </si>
  <si>
    <t>א. אוניברסיטאות - סה"כ</t>
  </si>
  <si>
    <t>מזה: הנדסת תעשייה וניהול</t>
  </si>
  <si>
    <t>ב. מוסדות אחרים להשכלה גבוהה</t>
  </si>
  <si>
    <t>מדעי המחשב</t>
  </si>
  <si>
    <t>אלקטרואופטיקה</t>
  </si>
  <si>
    <t>תעשייה וניהול</t>
  </si>
  <si>
    <t>.המקור: הלשכה המרכזית לסטטיסטיקה</t>
  </si>
  <si>
    <t>:הערות</t>
  </si>
  <si>
    <t>.1. הנתונים על סטודנטים שנה א' ועל סטודנטים להנדסת תעשייה וניהול באוניברסיטאות מתייחסים לשנת תשנ"ד</t>
  </si>
  <si>
    <t>:2. הנתונים אינם כוללים</t>
  </si>
  <si>
    <t>.(סטודנטים לחקלאות באוניברסיטאות (1,367 בתשנ"ה -</t>
  </si>
  <si>
    <t>.סטודנטים במרכז לחינוך טכנולוגי בחולון (765 בתשנ"ה), המסווגים על ידנו כסטודנטים להוראה טכנולוגית -</t>
  </si>
  <si>
    <t xml:space="preserve"> ,(סטודנטים למתמטיקה ומדעי הטבע באוניברסיטה הפתוחה (4230 בתשנ"ה -</t>
  </si>
  <si>
    <t xml:space="preserve">.שבשל חלקיות הלימודים שלהם אינם שוות ערך לסטודנטים ביתר המוסדות  להשכלה גבוהה </t>
  </si>
  <si>
    <t>3.15 לוח</t>
  </si>
  <si>
    <t>סטודנטים במכללות להכשרת מורים ובמוסדות אחרים להשכלה גבוהה</t>
  </si>
  <si>
    <t xml:space="preserve"> לפי תחום לימודים</t>
  </si>
  <si>
    <t>תשמ"א - תשנ"ה</t>
  </si>
  <si>
    <t>אמנות</t>
  </si>
  <si>
    <t>מדעי</t>
  </si>
  <si>
    <t xml:space="preserve"> הנדסה ומדע</t>
  </si>
  <si>
    <t>(2)הוראה</t>
  </si>
  <si>
    <t>(1)ועיצוב</t>
  </si>
  <si>
    <t>החברה</t>
  </si>
  <si>
    <t>(1)שימושי</t>
  </si>
  <si>
    <t>@תשמ"ח</t>
  </si>
  <si>
    <t>@תשמ"ט</t>
  </si>
  <si>
    <t xml:space="preserve"> תש"ן</t>
  </si>
  <si>
    <t>פיסיקה ואלקטרואופטיקה</t>
  </si>
  <si>
    <t>:1. הנתונים אינם כוללים</t>
  </si>
  <si>
    <t>.(סטודנטים לחקלאות באוניברסיטאות (1,422 בתשנ"א -</t>
  </si>
  <si>
    <t>.סטודנטים במרכז לחינוך טכנולוגי בחולון (412 בתשנ"א), המסווגים על ידנו כסטודנטים להוראה טכנולוגית -</t>
  </si>
  <si>
    <t xml:space="preserve"> ,(סטודנטים למתמטיקה ומדעי הטבע באוניברסיטה הפתוחה (3,420 בתשנ"א -</t>
  </si>
  <si>
    <t>סטודנטים למדע ולטכנולוגיה לפי מגזר ותחום לימודים</t>
  </si>
  <si>
    <t xml:space="preserve">      כאחוז מכלל הסטודנטים במוסדות להשכלה גבוהה</t>
  </si>
  <si>
    <t>תשנ"א, תשנ"ה</t>
  </si>
  <si>
    <r>
      <t xml:space="preserve">סטודנטים לתואר ראשון - </t>
    </r>
    <r>
      <rPr>
        <sz val="9"/>
        <color indexed="8"/>
        <rFont val="Times New Roman"/>
        <family val="1"/>
        <charset val="177"/>
      </rPr>
      <t>Undergraduate students</t>
    </r>
  </si>
  <si>
    <r>
      <t xml:space="preserve">א. </t>
    </r>
    <r>
      <rPr>
        <u/>
        <sz val="12"/>
        <color indexed="8"/>
        <rFont val="Courier"/>
        <family val="3"/>
        <charset val="177"/>
      </rPr>
      <t>אוניברסיטאות</t>
    </r>
  </si>
  <si>
    <t xml:space="preserve">שלישי ותעודה באוניברסיטאות. </t>
  </si>
  <si>
    <r>
      <t xml:space="preserve">Students at the </t>
    </r>
    <r>
      <rPr>
        <b/>
        <sz val="10"/>
        <color indexed="10"/>
        <rFont val="Times New Roman"/>
        <family val="1"/>
        <charset val="177"/>
      </rPr>
      <t>Open University</t>
    </r>
    <r>
      <rPr>
        <sz val="10"/>
        <color indexed="10"/>
        <rFont val="Times New Roman"/>
        <family val="1"/>
        <charset val="177"/>
      </rPr>
      <t xml:space="preserve"> are not included.</t>
    </r>
  </si>
  <si>
    <r>
      <t xml:space="preserve">Postgraduate students - </t>
    </r>
    <r>
      <rPr>
        <sz val="10"/>
        <color indexed="10"/>
        <rFont val="Times New Roman"/>
        <family val="1"/>
        <charset val="177"/>
      </rPr>
      <t>Includes students toward a Master's degree,</t>
    </r>
  </si>
  <si>
    <t xml:space="preserve">Doctorate or diploma at universities. </t>
  </si>
  <si>
    <t xml:space="preserve">סטודנטים במוסדות להשכלה גבוהה </t>
  </si>
  <si>
    <t xml:space="preserve">Students in Institutions of Higher Education </t>
  </si>
  <si>
    <t>החל מתשנ"ט נכללים גם הסטודנטים לתואר שני</t>
  </si>
  <si>
    <t>תשס"ה</t>
  </si>
  <si>
    <t>2004/05</t>
  </si>
  <si>
    <t>Source: C.B.S</t>
  </si>
  <si>
    <t>מקור: למ"ס</t>
  </si>
  <si>
    <t>מכללות אקדמיות</t>
  </si>
  <si>
    <t>Academic colleges</t>
  </si>
  <si>
    <t>במכללות האקדמיות והחל מתשס"ד</t>
  </si>
  <si>
    <t>at Academic colleges and since</t>
  </si>
  <si>
    <t>תשס"ו</t>
  </si>
  <si>
    <t>2005/06</t>
  </si>
  <si>
    <t>2006/07</t>
  </si>
  <si>
    <t>תשס"ז</t>
  </si>
  <si>
    <t>2007/08</t>
  </si>
  <si>
    <t>תשס"ח</t>
  </si>
  <si>
    <t>תשס"ט</t>
  </si>
  <si>
    <t>2008/09</t>
  </si>
  <si>
    <t>2009/10</t>
  </si>
  <si>
    <t>2010/11</t>
  </si>
  <si>
    <t>תש"ע</t>
  </si>
  <si>
    <t>תשע"א</t>
  </si>
  <si>
    <t>תשע"ב</t>
  </si>
  <si>
    <t>2011/12</t>
  </si>
  <si>
    <t>תשע"ג</t>
  </si>
  <si>
    <t>2012/13</t>
  </si>
  <si>
    <t>תשע"ד</t>
  </si>
  <si>
    <t>2013/14</t>
  </si>
  <si>
    <t>מכללות אקדמיות לחינוך</t>
  </si>
  <si>
    <t>מכללות באחריות אוניברסיטאית</t>
  </si>
  <si>
    <t>במכללות האקדמיות לחינוך.</t>
  </si>
  <si>
    <t>Academic tracks under university auspices</t>
  </si>
  <si>
    <t>Academic Colleges of Education</t>
  </si>
  <si>
    <t>Since 1998/99 includes also students toward Master's degree</t>
  </si>
  <si>
    <t>2003/04 at Academic Colleges of Education.</t>
  </si>
  <si>
    <t>תשע"ה</t>
  </si>
  <si>
    <t>2014/15</t>
  </si>
  <si>
    <t>תשע"ו</t>
  </si>
  <si>
    <t>מתשע"ו נתוני אריאל כלולים בתוך נתוני האוניברסיטאות.</t>
  </si>
  <si>
    <t>2015/16</t>
  </si>
  <si>
    <t>Since 2015/16 data on Ariel University is included with the data on universities.</t>
  </si>
  <si>
    <r>
      <t>הנתונים אינם כוללים סטודנטים ב</t>
    </r>
    <r>
      <rPr>
        <b/>
        <sz val="9"/>
        <color indexed="10"/>
        <rFont val="David"/>
        <family val="2"/>
        <charset val="177"/>
      </rPr>
      <t>אוניברסיטה הפתוחה</t>
    </r>
    <r>
      <rPr>
        <sz val="9"/>
        <color indexed="10"/>
        <rFont val="David"/>
        <family val="2"/>
        <charset val="177"/>
      </rPr>
      <t>.</t>
    </r>
  </si>
  <si>
    <r>
      <t xml:space="preserve">סטודנטים לתארים מתקדמים </t>
    </r>
    <r>
      <rPr>
        <sz val="9"/>
        <color indexed="10"/>
        <rFont val="David"/>
        <family val="2"/>
        <charset val="177"/>
      </rPr>
      <t xml:space="preserve">- כולל סטודנטים לתואר שני,  </t>
    </r>
  </si>
  <si>
    <t>תשע"ז</t>
  </si>
  <si>
    <t>2016/17</t>
  </si>
  <si>
    <t>הנתונים אינם כוללים את הסטודנטים הלומדים לתואר שלישי באריאל</t>
  </si>
  <si>
    <t>Data doesn't include Doctoral Students in Ariel University</t>
  </si>
  <si>
    <t>תשע"ח</t>
  </si>
  <si>
    <t>2017/18</t>
  </si>
  <si>
    <t>תשע"ט</t>
  </si>
  <si>
    <t>2018/19</t>
  </si>
  <si>
    <t xml:space="preserve"> (88 in 2014/15, 124 in 2015/16, 180 in 2016/17,222 in 2017/18 and 268 in 2018\19 ).</t>
  </si>
  <si>
    <t>תש"ף</t>
  </si>
  <si>
    <t xml:space="preserve"> (בתשע"ה 88, בתשע"ו 124, בתשע"ז 180, בתשע"ח 222, בתשע"ט 268 ובתש"ף 317).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</si>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</sst>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_)"/>
    <numFmt numFmtId="165" formatCode="0.000_)"/>
    <numFmt numFmtId="166" formatCode="0.00_)"/>
    <numFmt numFmtId="167" formatCode="0.0"/>
    <numFmt numFmtId="168" formatCode="#.00"/>
    <numFmt numFmtId="169" formatCode="#."/>
    <numFmt numFmtId="170" formatCode="0.0%"/>
    <numFmt numFmtId="171" formatCode="#,##0.0000;\-#,##0.0000"/>
    <numFmt numFmtId="172" formatCode="#,##0.00000;\-#,##0.00000"/>
  </numFmts>
  <fonts count="59" x14ac:knownFonts="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2"/>
      <color indexed="8"/>
      <name val="Courier"/>
      <family val="3"/>
    </font>
    <font>
      <sz val="11"/>
      <color indexed="8"/>
      <name val="Times New Roman"/>
      <family val="1"/>
      <charset val="177"/>
    </font>
    <font>
      <sz val="11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sz val="9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color indexed="8"/>
      <name val="Courier"/>
      <family val="3"/>
    </font>
    <font>
      <b/>
      <sz val="9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9"/>
      <color indexed="8"/>
      <name val="Times New Roman"/>
      <family val="1"/>
      <charset val="177"/>
    </font>
    <font>
      <b/>
      <sz val="10"/>
      <color indexed="8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sz val="10"/>
      <color indexed="8"/>
      <name val="Times New Roman"/>
      <family val="1"/>
      <charset val="177"/>
    </font>
    <font>
      <sz val="8.5"/>
      <color indexed="8"/>
      <name val="David"/>
      <family val="2"/>
      <charset val="177"/>
    </font>
    <font>
      <sz val="8.5"/>
      <name val="Times New Roman"/>
      <family val="1"/>
      <charset val="177"/>
    </font>
    <font>
      <sz val="8.5"/>
      <color indexed="8"/>
      <name val="Times New Roman"/>
      <family val="1"/>
    </font>
    <font>
      <b/>
      <sz val="8.5"/>
      <color indexed="10"/>
      <name val="Arial"/>
      <family val="2"/>
    </font>
    <font>
      <sz val="8.5"/>
      <name val="David"/>
      <family val="2"/>
      <charset val="177"/>
    </font>
    <font>
      <sz val="8"/>
      <name val="Courier"/>
      <family val="3"/>
    </font>
    <font>
      <b/>
      <sz val="8.5"/>
      <color indexed="8"/>
      <name val="Times New Roman"/>
      <family val="1"/>
    </font>
    <font>
      <b/>
      <sz val="10"/>
      <color indexed="10"/>
      <name val="David"/>
      <family val="2"/>
      <charset val="177"/>
    </font>
    <font>
      <b/>
      <sz val="12"/>
      <color indexed="10"/>
      <name val="Arial"/>
      <family val="2"/>
    </font>
    <font>
      <sz val="8.5"/>
      <name val="Times New Roman"/>
      <family val="1"/>
    </font>
    <font>
      <sz val="9"/>
      <name val="Times New Roman"/>
      <family val="1"/>
      <charset val="177"/>
    </font>
    <font>
      <b/>
      <sz val="8.5"/>
      <name val="David"/>
      <family val="2"/>
      <charset val="177"/>
    </font>
    <font>
      <b/>
      <sz val="8.5"/>
      <color indexed="10"/>
      <name val="David"/>
      <family val="2"/>
      <charset val="177"/>
    </font>
    <font>
      <sz val="10"/>
      <name val="David"/>
      <family val="2"/>
      <charset val="177"/>
    </font>
    <font>
      <sz val="9"/>
      <name val="David"/>
      <family val="2"/>
      <charset val="177"/>
    </font>
    <font>
      <b/>
      <sz val="11"/>
      <name val="Times New Roman"/>
      <family val="1"/>
    </font>
    <font>
      <sz val="6"/>
      <name val="Arial"/>
      <family val="2"/>
    </font>
    <font>
      <sz val="14"/>
      <color indexed="17"/>
      <name val="Courier"/>
      <family val="3"/>
    </font>
    <font>
      <sz val="14"/>
      <color indexed="8"/>
      <name val="Courier"/>
      <family val="3"/>
    </font>
    <font>
      <b/>
      <sz val="14"/>
      <color indexed="8"/>
      <name val="Courier"/>
      <family val="3"/>
    </font>
    <font>
      <b/>
      <i/>
      <u/>
      <sz val="12"/>
      <color indexed="8"/>
      <name val="Courier"/>
      <family val="3"/>
    </font>
    <font>
      <b/>
      <i/>
      <sz val="12"/>
      <color indexed="8"/>
      <name val="Courier"/>
      <family val="3"/>
    </font>
    <font>
      <u/>
      <sz val="12"/>
      <color indexed="8"/>
      <name val="Courier"/>
      <family val="3"/>
      <charset val="177"/>
    </font>
    <font>
      <u/>
      <sz val="12"/>
      <color indexed="8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Times New Roman"/>
      <family val="1"/>
      <charset val="177"/>
    </font>
    <font>
      <sz val="11"/>
      <color indexed="10"/>
      <name val="Courier"/>
      <family val="3"/>
    </font>
    <font>
      <sz val="11"/>
      <color indexed="10"/>
      <name val="Times New Roman"/>
      <family val="1"/>
    </font>
    <font>
      <sz val="10"/>
      <color indexed="10"/>
      <name val="David"/>
      <family val="2"/>
      <charset val="177"/>
    </font>
    <font>
      <b/>
      <sz val="10"/>
      <color indexed="10"/>
      <name val="Times New Roman"/>
      <family val="1"/>
      <charset val="177"/>
    </font>
    <font>
      <sz val="12"/>
      <color indexed="10"/>
      <name val="Courier"/>
      <family val="3"/>
    </font>
    <font>
      <sz val="12"/>
      <name val="Times New Roman"/>
      <family val="1"/>
    </font>
    <font>
      <sz val="10"/>
      <name val="Times New Roman"/>
      <family val="1"/>
      <charset val="177"/>
    </font>
    <font>
      <sz val="10"/>
      <color rgb="FFFF0000"/>
      <name val="Times New Roman"/>
      <family val="1"/>
      <charset val="177"/>
    </font>
    <font>
      <sz val="9"/>
      <color indexed="10"/>
      <name val="David"/>
      <family val="2"/>
      <charset val="177"/>
    </font>
    <font>
      <b/>
      <sz val="9"/>
      <color indexed="10"/>
      <name val="David"/>
      <family val="2"/>
      <charset val="177"/>
    </font>
    <font>
      <sz val="9"/>
      <color rgb="FFFF0000"/>
      <name val="David"/>
      <family val="2"/>
      <charset val="177"/>
    </font>
    <font>
      <sz val="9"/>
      <color rgb="FFFF0000"/>
      <name val="Times New Roman"/>
      <family val="1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 applyFont="0"/>
    <xf numFmtId="169" fontId="2" fillId="0" borderId="0">
      <protection locked="0"/>
    </xf>
    <xf numFmtId="168" fontId="2" fillId="0" borderId="0">
      <protection locked="0"/>
    </xf>
    <xf numFmtId="169" fontId="3" fillId="0" borderId="0">
      <protection locked="0"/>
    </xf>
    <xf numFmtId="169" fontId="3" fillId="0" borderId="0">
      <protection locked="0"/>
    </xf>
    <xf numFmtId="0" fontId="4" fillId="0" borderId="0" applyFont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9" fontId="2" fillId="0" borderId="1">
      <protection locked="0"/>
    </xf>
  </cellStyleXfs>
  <cellXfs count="210">
    <xf numFmtId="0" fontId="0" fillId="0" borderId="0" xfId="0"/>
    <xf numFmtId="0" fontId="5" fillId="0" borderId="0" xfId="5" applyFont="1" applyFill="1" applyAlignment="1" applyProtection="1"/>
    <xf numFmtId="0" fontId="4" fillId="0" borderId="0" xfId="5"/>
    <xf numFmtId="0" fontId="6" fillId="0" borderId="0" xfId="5" applyFont="1" applyFill="1" applyAlignment="1" applyProtection="1">
      <alignment horizontal="right"/>
    </xf>
    <xf numFmtId="3" fontId="4" fillId="0" borderId="0" xfId="5" applyNumberFormat="1"/>
    <xf numFmtId="0" fontId="7" fillId="0" borderId="0" xfId="5" applyFont="1" applyFill="1"/>
    <xf numFmtId="0" fontId="7" fillId="0" borderId="0" xfId="5" applyFont="1" applyFill="1" applyAlignment="1" applyProtection="1"/>
    <xf numFmtId="0" fontId="7" fillId="0" borderId="0" xfId="5" applyFont="1" applyFill="1" applyAlignment="1" applyProtection="1">
      <alignment horizontal="left"/>
    </xf>
    <xf numFmtId="37" fontId="7" fillId="0" borderId="0" xfId="5" applyNumberFormat="1" applyFont="1" applyFill="1" applyProtection="1"/>
    <xf numFmtId="37" fontId="7" fillId="0" borderId="0" xfId="5" applyNumberFormat="1" applyFont="1" applyFill="1" applyAlignment="1" applyProtection="1">
      <alignment horizontal="center"/>
    </xf>
    <xf numFmtId="165" fontId="7" fillId="0" borderId="0" xfId="5" applyNumberFormat="1" applyFont="1" applyFill="1" applyProtection="1"/>
    <xf numFmtId="37" fontId="7" fillId="0" borderId="0" xfId="5" applyNumberFormat="1" applyFont="1" applyFill="1" applyAlignment="1" applyProtection="1"/>
    <xf numFmtId="3" fontId="7" fillId="0" borderId="0" xfId="5" applyNumberFormat="1" applyFont="1" applyFill="1"/>
    <xf numFmtId="0" fontId="7" fillId="0" borderId="0" xfId="5" applyFont="1" applyFill="1" applyAlignment="1" applyProtection="1">
      <alignment horizontal="center"/>
    </xf>
    <xf numFmtId="0" fontId="8" fillId="0" borderId="0" xfId="5" applyFont="1" applyFill="1" applyAlignment="1" applyProtection="1"/>
    <xf numFmtId="0" fontId="9" fillId="0" borderId="0" xfId="5" applyFont="1" applyFill="1" applyAlignment="1" applyProtection="1">
      <alignment horizontal="right"/>
    </xf>
    <xf numFmtId="0" fontId="7" fillId="0" borderId="0" xfId="5" applyFont="1" applyFill="1" applyAlignment="1"/>
    <xf numFmtId="0" fontId="7" fillId="0" borderId="0" xfId="5" applyFont="1" applyFill="1" applyAlignment="1">
      <alignment horizontal="center"/>
    </xf>
    <xf numFmtId="0" fontId="7" fillId="0" borderId="0" xfId="5" applyFont="1" applyFill="1" applyAlignment="1">
      <alignment horizontal="right"/>
    </xf>
    <xf numFmtId="0" fontId="7" fillId="0" borderId="0" xfId="5" applyFont="1" applyFill="1" applyAlignment="1" applyProtection="1">
      <alignment horizontal="right"/>
    </xf>
    <xf numFmtId="0" fontId="9" fillId="0" borderId="0" xfId="5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0" fontId="11" fillId="0" borderId="0" xfId="5" applyFont="1" applyFill="1" applyBorder="1" applyAlignment="1" applyProtection="1">
      <alignment horizontal="center" vertical="center" wrapText="1"/>
    </xf>
    <xf numFmtId="0" fontId="13" fillId="0" borderId="0" xfId="5" applyFont="1" applyFill="1" applyBorder="1" applyAlignment="1">
      <alignment horizontal="right" vertical="center"/>
    </xf>
    <xf numFmtId="0" fontId="13" fillId="0" borderId="2" xfId="5" applyFont="1" applyFill="1" applyBorder="1" applyAlignment="1">
      <alignment horizontal="right" vertical="center"/>
    </xf>
    <xf numFmtId="0" fontId="11" fillId="0" borderId="2" xfId="5" applyFont="1" applyFill="1" applyBorder="1" applyAlignment="1" applyProtection="1">
      <alignment horizontal="right" vertical="center" wrapText="1"/>
    </xf>
    <xf numFmtId="0" fontId="11" fillId="0" borderId="0" xfId="5" applyFont="1" applyFill="1" applyBorder="1" applyAlignment="1" applyProtection="1">
      <alignment horizontal="right" vertical="center" wrapText="1"/>
    </xf>
    <xf numFmtId="0" fontId="11" fillId="0" borderId="3" xfId="5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right" vertical="center"/>
    </xf>
    <xf numFmtId="0" fontId="11" fillId="0" borderId="2" xfId="5" applyFont="1" applyFill="1" applyBorder="1" applyAlignment="1" applyProtection="1">
      <alignment horizontal="right" vertical="center"/>
    </xf>
    <xf numFmtId="0" fontId="11" fillId="0" borderId="0" xfId="5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 applyProtection="1">
      <alignment horizontal="right" vertical="center"/>
    </xf>
    <xf numFmtId="37" fontId="7" fillId="0" borderId="0" xfId="5" applyNumberFormat="1" applyFont="1" applyFill="1" applyAlignment="1" applyProtection="1">
      <alignment horizontal="right"/>
    </xf>
    <xf numFmtId="0" fontId="13" fillId="0" borderId="0" xfId="5" applyFont="1" applyFill="1" applyBorder="1" applyAlignment="1">
      <alignment horizontal="right"/>
    </xf>
    <xf numFmtId="0" fontId="13" fillId="0" borderId="2" xfId="5" applyFont="1" applyFill="1" applyBorder="1" applyAlignment="1">
      <alignment horizontal="right"/>
    </xf>
    <xf numFmtId="0" fontId="10" fillId="0" borderId="2" xfId="5" applyFont="1" applyFill="1" applyBorder="1" applyAlignment="1" applyProtection="1">
      <alignment horizontal="right" vertical="center" wrapText="1"/>
    </xf>
    <xf numFmtId="0" fontId="10" fillId="0" borderId="0" xfId="5" applyFont="1" applyFill="1" applyBorder="1" applyAlignment="1" applyProtection="1">
      <alignment horizontal="right" vertical="center" wrapText="1"/>
    </xf>
    <xf numFmtId="0" fontId="10" fillId="0" borderId="3" xfId="5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right" vertical="center"/>
    </xf>
    <xf numFmtId="0" fontId="10" fillId="0" borderId="2" xfId="5" applyFont="1" applyFill="1" applyBorder="1" applyAlignment="1" applyProtection="1">
      <alignment horizontal="right" vertical="center"/>
    </xf>
    <xf numFmtId="0" fontId="10" fillId="0" borderId="0" xfId="5" applyFont="1" applyFill="1" applyBorder="1" applyAlignment="1" applyProtection="1">
      <alignment horizontal="center" vertical="center"/>
    </xf>
    <xf numFmtId="0" fontId="16" fillId="0" borderId="0" xfId="5" applyFont="1" applyFill="1" applyBorder="1" applyAlignment="1" applyProtection="1">
      <alignment horizontal="center" vertical="center" wrapText="1"/>
    </xf>
    <xf numFmtId="0" fontId="17" fillId="0" borderId="2" xfId="5" applyFont="1" applyFill="1" applyBorder="1" applyAlignment="1" applyProtection="1">
      <alignment horizontal="right" vertical="center"/>
    </xf>
    <xf numFmtId="167" fontId="7" fillId="0" borderId="0" xfId="5" applyNumberFormat="1" applyFont="1" applyFill="1"/>
    <xf numFmtId="0" fontId="4" fillId="0" borderId="0" xfId="5" applyAlignment="1" applyProtection="1">
      <alignment horizontal="left"/>
    </xf>
    <xf numFmtId="0" fontId="7" fillId="0" borderId="4" xfId="5" applyFont="1" applyFill="1" applyBorder="1" applyAlignment="1" applyProtection="1"/>
    <xf numFmtId="0" fontId="7" fillId="0" borderId="4" xfId="5" applyFont="1" applyFill="1" applyBorder="1" applyAlignment="1">
      <alignment horizontal="right"/>
    </xf>
    <xf numFmtId="0" fontId="7" fillId="0" borderId="4" xfId="5" applyFont="1" applyFill="1" applyBorder="1" applyAlignment="1" applyProtection="1">
      <alignment horizontal="right"/>
    </xf>
    <xf numFmtId="0" fontId="7" fillId="0" borderId="4" xfId="5" applyFont="1" applyFill="1" applyBorder="1" applyAlignment="1" applyProtection="1">
      <alignment horizontal="center"/>
    </xf>
    <xf numFmtId="0" fontId="4" fillId="0" borderId="0" xfId="5" applyBorder="1"/>
    <xf numFmtId="0" fontId="4" fillId="0" borderId="0" xfId="5" applyBorder="1" applyAlignment="1">
      <alignment horizontal="center"/>
    </xf>
    <xf numFmtId="0" fontId="4" fillId="0" borderId="0" xfId="5" applyBorder="1" applyAlignment="1">
      <alignment horizontal="right"/>
    </xf>
    <xf numFmtId="0" fontId="18" fillId="0" borderId="0" xfId="5" applyFont="1" applyFill="1" applyBorder="1" applyAlignment="1" applyProtection="1"/>
    <xf numFmtId="37" fontId="18" fillId="0" borderId="0" xfId="5" applyNumberFormat="1" applyFont="1" applyFill="1" applyBorder="1" applyAlignment="1" applyProtection="1">
      <alignment horizontal="center"/>
    </xf>
    <xf numFmtId="37" fontId="18" fillId="0" borderId="0" xfId="5" applyNumberFormat="1" applyFont="1" applyFill="1" applyBorder="1" applyProtection="1"/>
    <xf numFmtId="37" fontId="18" fillId="0" borderId="2" xfId="5" applyNumberFormat="1" applyFont="1" applyFill="1" applyBorder="1" applyProtection="1"/>
    <xf numFmtId="37" fontId="18" fillId="0" borderId="0" xfId="5" applyNumberFormat="1" applyFont="1" applyFill="1" applyBorder="1" applyAlignment="1" applyProtection="1">
      <alignment horizontal="right" indent="1"/>
    </xf>
    <xf numFmtId="37" fontId="18" fillId="0" borderId="2" xfId="5" applyNumberFormat="1" applyFont="1" applyFill="1" applyBorder="1" applyAlignment="1" applyProtection="1">
      <alignment horizontal="right"/>
    </xf>
    <xf numFmtId="37" fontId="18" fillId="0" borderId="0" xfId="5" applyNumberFormat="1" applyFont="1" applyFill="1" applyBorder="1" applyAlignment="1" applyProtection="1">
      <alignment horizontal="right"/>
    </xf>
    <xf numFmtId="37" fontId="18" fillId="0" borderId="3" xfId="5" applyNumberFormat="1" applyFont="1" applyFill="1" applyBorder="1" applyProtection="1"/>
    <xf numFmtId="0" fontId="18" fillId="0" borderId="0" xfId="5" applyFont="1" applyFill="1" applyBorder="1" applyAlignment="1" applyProtection="1">
      <alignment horizontal="center"/>
    </xf>
    <xf numFmtId="0" fontId="18" fillId="0" borderId="2" xfId="5" applyFont="1" applyFill="1" applyBorder="1" applyAlignment="1" applyProtection="1">
      <alignment horizontal="right"/>
    </xf>
    <xf numFmtId="0" fontId="18" fillId="0" borderId="0" xfId="5" applyFont="1" applyFill="1" applyBorder="1" applyAlignment="1" applyProtection="1">
      <alignment horizontal="right"/>
    </xf>
    <xf numFmtId="37" fontId="18" fillId="0" borderId="0" xfId="5" applyNumberFormat="1" applyFont="1" applyFill="1" applyBorder="1" applyAlignment="1" applyProtection="1"/>
    <xf numFmtId="37" fontId="19" fillId="0" borderId="2" xfId="5" applyNumberFormat="1" applyFont="1" applyFill="1" applyBorder="1" applyProtection="1"/>
    <xf numFmtId="37" fontId="20" fillId="0" borderId="0" xfId="5" applyNumberFormat="1" applyFont="1" applyFill="1" applyAlignment="1" applyProtection="1"/>
    <xf numFmtId="37" fontId="21" fillId="0" borderId="0" xfId="5" applyNumberFormat="1" applyFont="1" applyBorder="1"/>
    <xf numFmtId="37" fontId="21" fillId="0" borderId="2" xfId="5" applyNumberFormat="1" applyFont="1" applyBorder="1"/>
    <xf numFmtId="164" fontId="7" fillId="0" borderId="0" xfId="5" applyNumberFormat="1" applyFont="1" applyFill="1" applyProtection="1"/>
    <xf numFmtId="164" fontId="7" fillId="0" borderId="0" xfId="5" applyNumberFormat="1" applyFont="1" applyFill="1" applyAlignment="1" applyProtection="1"/>
    <xf numFmtId="0" fontId="7" fillId="0" borderId="0" xfId="5" applyFont="1" applyFill="1" applyProtection="1"/>
    <xf numFmtId="170" fontId="20" fillId="0" borderId="0" xfId="8" applyNumberFormat="1" applyFont="1" applyFill="1" applyAlignment="1" applyProtection="1"/>
    <xf numFmtId="0" fontId="18" fillId="0" borderId="0" xfId="5" applyFont="1" applyFill="1" applyBorder="1" applyAlignment="1" applyProtection="1">
      <alignment horizontal="left"/>
    </xf>
    <xf numFmtId="0" fontId="20" fillId="0" borderId="0" xfId="5" applyFont="1" applyFill="1" applyAlignment="1" applyProtection="1"/>
    <xf numFmtId="9" fontId="22" fillId="0" borderId="0" xfId="8" applyNumberFormat="1" applyFont="1" applyFill="1" applyAlignment="1" applyProtection="1"/>
    <xf numFmtId="37" fontId="23" fillId="0" borderId="0" xfId="5" applyNumberFormat="1" applyFont="1" applyFill="1" applyAlignment="1" applyProtection="1"/>
    <xf numFmtId="170" fontId="22" fillId="0" borderId="0" xfId="8" applyNumberFormat="1" applyFont="1" applyFill="1" applyAlignment="1" applyProtection="1"/>
    <xf numFmtId="3" fontId="21" fillId="0" borderId="0" xfId="5" applyNumberFormat="1" applyFont="1" applyBorder="1" applyAlignment="1">
      <alignment horizontal="right" indent="1"/>
    </xf>
    <xf numFmtId="37" fontId="22" fillId="0" borderId="0" xfId="8" applyNumberFormat="1" applyFont="1" applyFill="1" applyAlignment="1" applyProtection="1"/>
    <xf numFmtId="167" fontId="4" fillId="0" borderId="0" xfId="5" applyNumberFormat="1"/>
    <xf numFmtId="0" fontId="21" fillId="0" borderId="0" xfId="5" applyFont="1" applyBorder="1"/>
    <xf numFmtId="3" fontId="21" fillId="0" borderId="0" xfId="5" applyNumberFormat="1" applyFont="1" applyBorder="1" applyAlignment="1">
      <alignment horizontal="center"/>
    </xf>
    <xf numFmtId="3" fontId="21" fillId="0" borderId="2" xfId="5" applyNumberFormat="1" applyFont="1" applyBorder="1"/>
    <xf numFmtId="3" fontId="21" fillId="0" borderId="0" xfId="5" applyNumberFormat="1" applyFont="1" applyBorder="1"/>
    <xf numFmtId="0" fontId="24" fillId="0" borderId="0" xfId="5" applyFont="1"/>
    <xf numFmtId="170" fontId="7" fillId="0" borderId="0" xfId="8" applyNumberFormat="1" applyFont="1" applyFill="1" applyAlignment="1">
      <alignment horizontal="right"/>
    </xf>
    <xf numFmtId="3" fontId="21" fillId="0" borderId="2" xfId="5" applyNumberFormat="1" applyFont="1" applyBorder="1" applyAlignment="1">
      <alignment horizontal="right"/>
    </xf>
    <xf numFmtId="3" fontId="21" fillId="0" borderId="0" xfId="5" applyNumberFormat="1" applyFont="1" applyBorder="1" applyAlignment="1">
      <alignment horizontal="right"/>
    </xf>
    <xf numFmtId="3" fontId="21" fillId="0" borderId="3" xfId="5" applyNumberFormat="1" applyFont="1" applyBorder="1"/>
    <xf numFmtId="170" fontId="25" fillId="0" borderId="0" xfId="8" applyNumberFormat="1" applyFont="1"/>
    <xf numFmtId="164" fontId="4" fillId="0" borderId="0" xfId="5" applyNumberFormat="1" applyProtection="1"/>
    <xf numFmtId="37" fontId="7" fillId="0" borderId="0" xfId="8" applyNumberFormat="1" applyFont="1" applyFill="1" applyAlignment="1">
      <alignment horizontal="right"/>
    </xf>
    <xf numFmtId="37" fontId="26" fillId="0" borderId="0" xfId="8" applyNumberFormat="1" applyFont="1" applyFill="1" applyAlignment="1" applyProtection="1"/>
    <xf numFmtId="37" fontId="27" fillId="0" borderId="0" xfId="5" applyNumberFormat="1" applyFont="1" applyAlignment="1">
      <alignment horizontal="right" wrapText="1"/>
    </xf>
    <xf numFmtId="171" fontId="4" fillId="0" borderId="0" xfId="5" applyNumberFormat="1"/>
    <xf numFmtId="172" fontId="7" fillId="0" borderId="0" xfId="5" applyNumberFormat="1" applyFont="1" applyFill="1" applyProtection="1"/>
    <xf numFmtId="0" fontId="21" fillId="0" borderId="0" xfId="5" quotePrefix="1" applyFont="1" applyBorder="1"/>
    <xf numFmtId="9" fontId="28" fillId="0" borderId="0" xfId="8" applyNumberFormat="1" applyFont="1" applyAlignment="1">
      <alignment horizontal="right"/>
    </xf>
    <xf numFmtId="170" fontId="7" fillId="0" borderId="0" xfId="8" applyNumberFormat="1" applyFont="1" applyFill="1" applyProtection="1"/>
    <xf numFmtId="0" fontId="29" fillId="0" borderId="0" xfId="5" quotePrefix="1" applyFont="1" applyBorder="1"/>
    <xf numFmtId="37" fontId="22" fillId="0" borderId="0" xfId="5" applyNumberFormat="1" applyFont="1" applyFill="1" applyBorder="1" applyAlignment="1" applyProtection="1">
      <alignment horizontal="center"/>
    </xf>
    <xf numFmtId="37" fontId="30" fillId="0" borderId="0" xfId="5" applyNumberFormat="1" applyFont="1" applyBorder="1"/>
    <xf numFmtId="37" fontId="30" fillId="0" borderId="2" xfId="5" applyNumberFormat="1" applyFont="1" applyBorder="1"/>
    <xf numFmtId="3" fontId="30" fillId="0" borderId="2" xfId="5" applyNumberFormat="1" applyFont="1" applyBorder="1" applyAlignment="1">
      <alignment horizontal="right"/>
    </xf>
    <xf numFmtId="3" fontId="30" fillId="0" borderId="0" xfId="5" applyNumberFormat="1" applyFont="1" applyBorder="1" applyAlignment="1">
      <alignment horizontal="right"/>
    </xf>
    <xf numFmtId="3" fontId="30" fillId="0" borderId="2" xfId="5" applyNumberFormat="1" applyFont="1" applyBorder="1"/>
    <xf numFmtId="3" fontId="30" fillId="0" borderId="0" xfId="5" applyNumberFormat="1" applyFont="1" applyBorder="1"/>
    <xf numFmtId="37" fontId="10" fillId="0" borderId="2" xfId="5" applyNumberFormat="1" applyFont="1" applyFill="1" applyBorder="1" applyProtection="1"/>
    <xf numFmtId="37" fontId="10" fillId="0" borderId="0" xfId="5" applyNumberFormat="1" applyFont="1" applyFill="1" applyBorder="1" applyProtection="1"/>
    <xf numFmtId="0" fontId="24" fillId="0" borderId="0" xfId="5" applyFont="1" applyBorder="1"/>
    <xf numFmtId="37" fontId="31" fillId="0" borderId="0" xfId="5" applyNumberFormat="1" applyFont="1" applyBorder="1" applyAlignment="1">
      <alignment horizontal="center" wrapText="1"/>
    </xf>
    <xf numFmtId="0" fontId="32" fillId="0" borderId="0" xfId="5" applyFont="1" applyBorder="1" applyAlignment="1">
      <alignment horizontal="center" wrapText="1"/>
    </xf>
    <xf numFmtId="37" fontId="7" fillId="0" borderId="0" xfId="5" applyNumberFormat="1" applyFont="1" applyFill="1" applyBorder="1" applyProtection="1"/>
    <xf numFmtId="37" fontId="7" fillId="0" borderId="0" xfId="5" applyNumberFormat="1" applyFont="1" applyFill="1" applyBorder="1" applyAlignment="1" applyProtection="1">
      <alignment horizontal="right"/>
    </xf>
    <xf numFmtId="0" fontId="7" fillId="0" borderId="0" xfId="5" applyFont="1" applyFill="1" applyBorder="1"/>
    <xf numFmtId="0" fontId="7" fillId="0" borderId="0" xfId="5" applyFont="1" applyFill="1" applyBorder="1" applyAlignment="1" applyProtection="1"/>
    <xf numFmtId="164" fontId="4" fillId="0" borderId="0" xfId="5" applyNumberFormat="1" applyBorder="1" applyProtection="1"/>
    <xf numFmtId="164" fontId="7" fillId="0" borderId="0" xfId="5" applyNumberFormat="1" applyFont="1" applyFill="1" applyBorder="1" applyProtection="1"/>
    <xf numFmtId="37" fontId="7" fillId="0" borderId="0" xfId="5" applyNumberFormat="1" applyFont="1" applyFill="1" applyBorder="1" applyAlignment="1" applyProtection="1"/>
    <xf numFmtId="3" fontId="7" fillId="0" borderId="0" xfId="5" applyNumberFormat="1" applyFont="1" applyFill="1" applyBorder="1"/>
    <xf numFmtId="0" fontId="7" fillId="0" borderId="0" xfId="5" applyFont="1" applyFill="1" applyBorder="1" applyAlignment="1">
      <alignment horizontal="right"/>
    </xf>
    <xf numFmtId="0" fontId="7" fillId="0" borderId="0" xfId="5" applyFont="1" applyFill="1" applyBorder="1" applyAlignment="1" applyProtection="1">
      <alignment horizontal="right"/>
    </xf>
    <xf numFmtId="0" fontId="33" fillId="0" borderId="0" xfId="5" applyFont="1"/>
    <xf numFmtId="9" fontId="33" fillId="0" borderId="0" xfId="8" applyFont="1"/>
    <xf numFmtId="0" fontId="34" fillId="0" borderId="0" xfId="5" applyFont="1" applyBorder="1"/>
    <xf numFmtId="3" fontId="34" fillId="0" borderId="0" xfId="5" applyNumberFormat="1" applyFont="1" applyBorder="1"/>
    <xf numFmtId="170" fontId="34" fillId="0" borderId="0" xfId="8" applyNumberFormat="1" applyFont="1" applyBorder="1"/>
    <xf numFmtId="170" fontId="4" fillId="0" borderId="0" xfId="8" applyNumberFormat="1" applyFont="1"/>
    <xf numFmtId="0" fontId="24" fillId="0" borderId="0" xfId="5" applyFont="1" applyAlignment="1">
      <alignment horizontal="right"/>
    </xf>
    <xf numFmtId="9" fontId="24" fillId="0" borderId="0" xfId="8" applyFont="1" applyAlignment="1">
      <alignment horizontal="right"/>
    </xf>
    <xf numFmtId="37" fontId="24" fillId="0" borderId="0" xfId="5" applyNumberFormat="1" applyFont="1" applyAlignment="1">
      <alignment horizontal="right"/>
    </xf>
    <xf numFmtId="170" fontId="35" fillId="2" borderId="0" xfId="5" applyNumberFormat="1" applyFont="1" applyFill="1" applyAlignment="1">
      <alignment horizontal="right"/>
    </xf>
    <xf numFmtId="170" fontId="24" fillId="0" borderId="0" xfId="5" applyNumberFormat="1" applyFont="1" applyAlignment="1">
      <alignment horizontal="right"/>
    </xf>
    <xf numFmtId="0" fontId="31" fillId="0" borderId="0" xfId="5" applyFont="1" applyAlignment="1">
      <alignment horizontal="right"/>
    </xf>
    <xf numFmtId="0" fontId="19" fillId="0" borderId="0" xfId="5" applyFont="1" applyFill="1"/>
    <xf numFmtId="164" fontId="7" fillId="0" borderId="0" xfId="5" applyNumberFormat="1" applyFont="1" applyFill="1" applyAlignment="1" applyProtection="1">
      <alignment horizontal="right"/>
    </xf>
    <xf numFmtId="3" fontId="36" fillId="0" borderId="0" xfId="8" applyNumberFormat="1" applyFont="1" applyBorder="1"/>
    <xf numFmtId="166" fontId="7" fillId="0" borderId="0" xfId="5" applyNumberFormat="1" applyFont="1" applyFill="1" applyProtection="1"/>
    <xf numFmtId="3" fontId="7" fillId="0" borderId="0" xfId="5" applyNumberFormat="1" applyFont="1" applyFill="1" applyProtection="1"/>
    <xf numFmtId="0" fontId="37" fillId="0" borderId="0" xfId="5" applyFont="1" applyFill="1"/>
    <xf numFmtId="0" fontId="37" fillId="0" borderId="0" xfId="5" applyFont="1" applyFill="1" applyAlignment="1" applyProtection="1"/>
    <xf numFmtId="0" fontId="38" fillId="0" borderId="0" xfId="5" applyFont="1" applyFill="1"/>
    <xf numFmtId="3" fontId="7" fillId="0" borderId="0" xfId="5" applyNumberFormat="1" applyFont="1" applyFill="1" applyAlignment="1" applyProtection="1">
      <alignment horizontal="right"/>
    </xf>
    <xf numFmtId="9" fontId="7" fillId="0" borderId="0" xfId="5" applyNumberFormat="1" applyFont="1" applyFill="1" applyProtection="1"/>
    <xf numFmtId="167" fontId="7" fillId="0" borderId="0" xfId="5" applyNumberFormat="1" applyFont="1" applyFill="1" applyProtection="1"/>
    <xf numFmtId="0" fontId="39" fillId="0" borderId="0" xfId="5" applyFont="1" applyFill="1"/>
    <xf numFmtId="0" fontId="39" fillId="0" borderId="0" xfId="5" applyFont="1" applyFill="1" applyAlignment="1" applyProtection="1">
      <alignment horizontal="left"/>
    </xf>
    <xf numFmtId="0" fontId="39" fillId="0" borderId="0" xfId="5" applyFont="1" applyFill="1" applyAlignment="1" applyProtection="1">
      <alignment horizontal="center"/>
    </xf>
    <xf numFmtId="0" fontId="40" fillId="0" borderId="0" xfId="5" applyFont="1" applyFill="1" applyAlignment="1" applyProtection="1"/>
    <xf numFmtId="0" fontId="41" fillId="0" borderId="0" xfId="5" applyFont="1" applyFill="1" applyAlignment="1" applyProtection="1"/>
    <xf numFmtId="0" fontId="43" fillId="0" borderId="0" xfId="5" applyFont="1" applyFill="1" applyAlignment="1" applyProtection="1"/>
    <xf numFmtId="37" fontId="4" fillId="0" borderId="0" xfId="5" applyNumberFormat="1" applyProtection="1"/>
    <xf numFmtId="0" fontId="7" fillId="0" borderId="5" xfId="5" applyFont="1" applyFill="1" applyBorder="1"/>
    <xf numFmtId="0" fontId="7" fillId="0" borderId="5" xfId="5" applyFont="1" applyFill="1" applyBorder="1" applyAlignment="1" applyProtection="1"/>
    <xf numFmtId="166" fontId="7" fillId="0" borderId="5" xfId="5" applyNumberFormat="1" applyFont="1" applyFill="1" applyBorder="1" applyProtection="1"/>
    <xf numFmtId="37" fontId="7" fillId="0" borderId="5" xfId="5" applyNumberFormat="1" applyFont="1" applyFill="1" applyBorder="1" applyAlignment="1" applyProtection="1">
      <alignment horizontal="right"/>
    </xf>
    <xf numFmtId="0" fontId="7" fillId="0" borderId="5" xfId="5" applyFont="1" applyFill="1" applyBorder="1" applyAlignment="1" applyProtection="1">
      <alignment horizontal="right"/>
    </xf>
    <xf numFmtId="166" fontId="7" fillId="0" borderId="0" xfId="5" applyNumberFormat="1" applyFont="1" applyFill="1" applyAlignment="1" applyProtection="1"/>
    <xf numFmtId="0" fontId="46" fillId="0" borderId="0" xfId="5" applyFont="1" applyFill="1" applyBorder="1" applyAlignment="1" applyProtection="1"/>
    <xf numFmtId="0" fontId="47" fillId="0" borderId="0" xfId="5" applyFont="1" applyBorder="1"/>
    <xf numFmtId="3" fontId="47" fillId="0" borderId="0" xfId="5" applyNumberFormat="1" applyFont="1"/>
    <xf numFmtId="3" fontId="48" fillId="0" borderId="0" xfId="5" applyNumberFormat="1" applyFont="1" applyBorder="1" applyAlignment="1">
      <alignment horizontal="right" indent="1"/>
    </xf>
    <xf numFmtId="37" fontId="47" fillId="0" borderId="0" xfId="5" applyNumberFormat="1" applyFont="1" applyBorder="1"/>
    <xf numFmtId="167" fontId="47" fillId="0" borderId="0" xfId="5" applyNumberFormat="1" applyFont="1" applyBorder="1"/>
    <xf numFmtId="0" fontId="47" fillId="0" borderId="0" xfId="5" applyFont="1"/>
    <xf numFmtId="0" fontId="49" fillId="0" borderId="0" xfId="5" applyFont="1" applyBorder="1"/>
    <xf numFmtId="0" fontId="46" fillId="0" borderId="0" xfId="5" applyFont="1" applyFill="1"/>
    <xf numFmtId="0" fontId="51" fillId="0" borderId="0" xfId="5" applyFont="1"/>
    <xf numFmtId="167" fontId="51" fillId="0" borderId="0" xfId="5" applyNumberFormat="1" applyFont="1"/>
    <xf numFmtId="2" fontId="51" fillId="0" borderId="0" xfId="5" applyNumberFormat="1" applyFont="1"/>
    <xf numFmtId="0" fontId="50" fillId="0" borderId="0" xfId="5" applyFont="1" applyFill="1"/>
    <xf numFmtId="0" fontId="4" fillId="0" borderId="0" xfId="0" applyFont="1" applyFill="1"/>
    <xf numFmtId="0" fontId="4" fillId="0" borderId="0" xfId="0" applyFont="1" applyFill="1" applyBorder="1"/>
    <xf numFmtId="37" fontId="18" fillId="0" borderId="3" xfId="5" applyNumberFormat="1" applyFont="1" applyFill="1" applyBorder="1" applyAlignment="1" applyProtection="1">
      <alignment horizontal="center"/>
    </xf>
    <xf numFmtId="37" fontId="22" fillId="0" borderId="3" xfId="5" applyNumberFormat="1" applyFont="1" applyFill="1" applyBorder="1" applyAlignment="1" applyProtection="1">
      <alignment horizontal="center"/>
    </xf>
    <xf numFmtId="0" fontId="52" fillId="0" borderId="0" xfId="5" applyFont="1" applyBorder="1" applyAlignment="1">
      <alignment horizontal="center"/>
    </xf>
    <xf numFmtId="0" fontId="52" fillId="0" borderId="2" xfId="5" applyFont="1" applyBorder="1" applyAlignment="1">
      <alignment horizontal="center"/>
    </xf>
    <xf numFmtId="37" fontId="22" fillId="0" borderId="2" xfId="5" applyNumberFormat="1" applyFont="1" applyFill="1" applyBorder="1" applyAlignment="1" applyProtection="1">
      <alignment horizontal="center"/>
    </xf>
    <xf numFmtId="0" fontId="4" fillId="0" borderId="2" xfId="5" applyBorder="1"/>
    <xf numFmtId="0" fontId="24" fillId="0" borderId="3" xfId="5" applyFont="1" applyBorder="1"/>
    <xf numFmtId="37" fontId="7" fillId="0" borderId="0" xfId="5" applyNumberFormat="1" applyFont="1" applyFill="1"/>
    <xf numFmtId="0" fontId="52" fillId="0" borderId="0" xfId="5" applyFont="1" applyFill="1" applyBorder="1" applyAlignment="1">
      <alignment horizontal="center"/>
    </xf>
    <xf numFmtId="0" fontId="4" fillId="0" borderId="2" xfId="5" applyFill="1" applyBorder="1"/>
    <xf numFmtId="3" fontId="21" fillId="0" borderId="0" xfId="5" applyNumberFormat="1" applyFont="1" applyFill="1" applyBorder="1" applyAlignment="1">
      <alignment horizontal="right" indent="1"/>
    </xf>
    <xf numFmtId="37" fontId="24" fillId="0" borderId="0" xfId="5" applyNumberFormat="1" applyFont="1" applyBorder="1"/>
    <xf numFmtId="0" fontId="51" fillId="0" borderId="0" xfId="5" applyFont="1" applyFill="1"/>
    <xf numFmtId="0" fontId="4" fillId="0" borderId="0" xfId="5" applyFill="1" applyBorder="1"/>
    <xf numFmtId="0" fontId="54" fillId="0" borderId="0" xfId="5" applyFont="1" applyFill="1"/>
    <xf numFmtId="0" fontId="52" fillId="0" borderId="3" xfId="5" applyFont="1" applyFill="1" applyBorder="1" applyAlignment="1">
      <alignment horizontal="center"/>
    </xf>
    <xf numFmtId="0" fontId="4" fillId="0" borderId="3" xfId="5" applyBorder="1"/>
    <xf numFmtId="0" fontId="55" fillId="0" borderId="0" xfId="5" applyFont="1" applyAlignment="1">
      <alignment horizontal="right"/>
    </xf>
    <xf numFmtId="0" fontId="57" fillId="0" borderId="0" xfId="0" applyFont="1" applyFill="1" applyBorder="1"/>
    <xf numFmtId="0" fontId="56" fillId="0" borderId="0" xfId="5" applyFont="1" applyAlignment="1">
      <alignment horizontal="right"/>
    </xf>
    <xf numFmtId="0" fontId="55" fillId="0" borderId="0" xfId="5" applyFont="1" applyFill="1" applyAlignment="1">
      <alignment horizontal="right"/>
    </xf>
    <xf numFmtId="0" fontId="55" fillId="0" borderId="0" xfId="5" applyFont="1" applyFill="1" applyAlignment="1">
      <alignment horizontal="right" readingOrder="2"/>
    </xf>
    <xf numFmtId="0" fontId="4" fillId="0" borderId="0" xfId="5" applyFill="1"/>
    <xf numFmtId="0" fontId="58" fillId="0" borderId="0" xfId="5" applyFont="1" applyFill="1" applyAlignment="1">
      <alignment horizontal="left"/>
    </xf>
    <xf numFmtId="0" fontId="58" fillId="0" borderId="0" xfId="5" applyFont="1" applyFill="1" applyAlignment="1">
      <alignment horizontal="left" readingOrder="1"/>
    </xf>
    <xf numFmtId="0" fontId="53" fillId="0" borderId="0" xfId="0" applyFont="1" applyFill="1" applyAlignment="1">
      <alignment horizontal="left"/>
    </xf>
    <xf numFmtId="0" fontId="4" fillId="0" borderId="0" xfId="7" applyFill="1"/>
    <xf numFmtId="0" fontId="33" fillId="0" borderId="0" xfId="0" applyFont="1" applyFill="1" applyAlignment="1">
      <alignment horizontal="right"/>
    </xf>
    <xf numFmtId="0" fontId="4" fillId="0" borderId="0" xfId="6" applyFill="1"/>
    <xf numFmtId="0" fontId="11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1" fillId="0" borderId="0" xfId="5" applyFont="1" applyFill="1" applyBorder="1" applyAlignment="1" applyProtection="1">
      <alignment horizontal="center" vertical="center" wrapText="1"/>
    </xf>
    <xf numFmtId="0" fontId="14" fillId="0" borderId="0" xfId="5" applyFont="1" applyFill="1" applyBorder="1" applyAlignment="1" applyProtection="1">
      <alignment horizontal="center" vertical="center"/>
    </xf>
  </cellXfs>
  <cellStyles count="10">
    <cellStyle name="Date" xfId="1"/>
    <cellStyle name="Fixed" xfId="2"/>
    <cellStyle name="Heading1" xfId="3"/>
    <cellStyle name="Heading2" xfId="4"/>
    <cellStyle name="Normal" xfId="0" builtinId="0"/>
    <cellStyle name="Normal_Tables301-307" xfId="5"/>
    <cellStyle name="Normal_Tables308-318" xfId="6"/>
    <cellStyle name="Normal_Tables319-322" xfId="7"/>
    <cellStyle name="Percent" xfId="8" builtinId="5"/>
    <cellStyle name="Total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va\CHOVERET2000\Tables301-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H\Hava\CHOVERET2000\Shotef\Tables308-3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STUDENTS.wq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שע&quot;א ללא אזוריות"/>
      <sheetName val="תש&quot;ע ללא אזוריות"/>
      <sheetName val="תשס&quot;ט ללא אזוריות"/>
      <sheetName val="תשס&quot;ח ללא אזוריות"/>
      <sheetName val=" תשס&quot;ז ללא אזוריות"/>
      <sheetName val="סהכ_לפי תואר"/>
      <sheetName val="T301-307"/>
      <sheetName val="התפתחות_סוג"/>
      <sheetName val="3.1 לא מתוקצבים"/>
      <sheetName val="T3.1מבוטל"/>
      <sheetName val="T3.1_new"/>
      <sheetName val="לוח 3.1 - אחוזים"/>
      <sheetName val="T3.1 (2)"/>
      <sheetName val="אחוזי גידול"/>
      <sheetName val="שינוי שנתי"/>
      <sheetName val="Sheet2"/>
      <sheetName val="T3.2מבוטל"/>
      <sheetName val="T3.2 (2)"/>
      <sheetName val="T3.3מבוטל"/>
      <sheetName val="T3.3 (2)"/>
      <sheetName val="T3.4"/>
      <sheetName val="T3.4 תש&quot;ס"/>
      <sheetName val="T3.4 תשס&quot;א"/>
      <sheetName val="תשס&quot;ב T3.4"/>
      <sheetName val="תשס&quot;ג T3.4 "/>
      <sheetName val="אוניברסיטאות_ללא אזוריות_ס&quot;ג"/>
      <sheetName val="תשס&quot;ד 3.4"/>
      <sheetName val="תשס&quot;ד_ללא איזוריות"/>
      <sheetName val="תשס&quot;ה 3.4 "/>
      <sheetName val="תשס&quot;ו _ללא איזוריות"/>
      <sheetName val="3.4 תשס&quot;ו "/>
      <sheetName val="3.4 תשס&quot;ז "/>
      <sheetName val="תשס&quot;ח 3.4"/>
      <sheetName val="תשס&quot;ח 3.4 סופי"/>
      <sheetName val="תשס&quot;ח 3.4 סופי ללא איזוריות"/>
      <sheetName val="תשס&quot;ט 3.4  אומדן"/>
      <sheetName val="תשס&quot;ט 3.4 "/>
      <sheetName val="תש&quot;ע 3.4 "/>
      <sheetName val="תשע&quot;א 3.4"/>
      <sheetName val="Sheet1"/>
      <sheetName val="T3.5"/>
      <sheetName val="T3.6"/>
      <sheetName val="T3.7"/>
      <sheetName val="T3.7 תש&quot;ס"/>
      <sheetName val="T3.7 תשסא"/>
      <sheetName val="T3.7 תשסב"/>
      <sheetName val="תשסב אחוזים_3.7"/>
      <sheetName val="גרף 3.3"/>
      <sheetName val="תשס&quot;ט _ ללא אזוריות "/>
      <sheetName val="תשס&quot;ח _ ללא אזוריות"/>
      <sheetName val=" תשס&quot;ז _ ללא אזוריו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B42">
            <v>54440</v>
          </cell>
          <cell r="F42">
            <v>77526</v>
          </cell>
          <cell r="I42">
            <v>18898</v>
          </cell>
          <cell r="L42">
            <v>8694</v>
          </cell>
          <cell r="O42">
            <v>66743</v>
          </cell>
          <cell r="R42">
            <v>171861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T3.8"/>
      <sheetName val="לוח 3.9"/>
      <sheetName val="T3.9"/>
      <sheetName val="T3.10"/>
      <sheetName val="T3.11"/>
      <sheetName val="T3.13"/>
    </sheetNames>
    <sheetDataSet>
      <sheetData sheetId="0">
        <row r="7">
          <cell r="FA7">
            <v>30473</v>
          </cell>
          <cell r="FB7">
            <v>28478</v>
          </cell>
          <cell r="FC7">
            <v>27342</v>
          </cell>
          <cell r="FD7">
            <v>23636</v>
          </cell>
          <cell r="FF7">
            <v>19039</v>
          </cell>
        </row>
        <row r="16">
          <cell r="FA16">
            <v>22.301709710235301</v>
          </cell>
          <cell r="FB16">
            <v>21.297141653205983</v>
          </cell>
          <cell r="FC16">
            <v>20.539828834759703</v>
          </cell>
          <cell r="FD16">
            <v>17.892198341512938</v>
          </cell>
          <cell r="FF16">
            <v>19.596617469404904</v>
          </cell>
          <cell r="GG16">
            <v>991</v>
          </cell>
          <cell r="GH16">
            <v>216</v>
          </cell>
        </row>
        <row r="17">
          <cell r="GG17">
            <v>972</v>
          </cell>
          <cell r="GH17">
            <v>216</v>
          </cell>
        </row>
        <row r="18">
          <cell r="GG18">
            <v>1018</v>
          </cell>
          <cell r="GH18">
            <v>928</v>
          </cell>
        </row>
        <row r="19">
          <cell r="GG19">
            <v>1194</v>
          </cell>
          <cell r="GH19">
            <v>1617</v>
          </cell>
        </row>
        <row r="20">
          <cell r="GC20">
            <v>7.021916000879572</v>
          </cell>
          <cell r="GE20" t="str">
            <v>-</v>
          </cell>
          <cell r="GF20">
            <v>4746</v>
          </cell>
          <cell r="GG20">
            <v>1188</v>
          </cell>
          <cell r="GH20">
            <v>1877</v>
          </cell>
        </row>
        <row r="21">
          <cell r="GG21">
            <v>1230</v>
          </cell>
          <cell r="GH21">
            <v>2142</v>
          </cell>
        </row>
        <row r="22">
          <cell r="GG22">
            <v>1306</v>
          </cell>
          <cell r="GH22">
            <v>2790</v>
          </cell>
        </row>
        <row r="23">
          <cell r="GC23">
            <v>12.255369053727186</v>
          </cell>
          <cell r="GD23">
            <v>1480</v>
          </cell>
          <cell r="GE23">
            <v>720</v>
          </cell>
          <cell r="GF23">
            <v>8043</v>
          </cell>
          <cell r="GG23">
            <v>1467</v>
          </cell>
          <cell r="GH23">
            <v>3288</v>
          </cell>
        </row>
        <row r="24">
          <cell r="GC24">
            <v>27.266730191306898</v>
          </cell>
          <cell r="GE24">
            <v>1020</v>
          </cell>
          <cell r="GF24">
            <v>8925</v>
          </cell>
          <cell r="GG24">
            <v>1654</v>
          </cell>
          <cell r="GH24">
            <v>4561</v>
          </cell>
        </row>
        <row r="25">
          <cell r="GE25">
            <v>948</v>
          </cell>
          <cell r="GF25">
            <v>10892</v>
          </cell>
          <cell r="GG25">
            <v>1680</v>
          </cell>
          <cell r="GH25">
            <v>4777</v>
          </cell>
        </row>
        <row r="26">
          <cell r="GE26">
            <v>973</v>
          </cell>
          <cell r="GF26">
            <v>11435</v>
          </cell>
          <cell r="GG26">
            <v>1914</v>
          </cell>
          <cell r="GH26">
            <v>7079</v>
          </cell>
        </row>
        <row r="27">
          <cell r="GE27">
            <v>2292</v>
          </cell>
          <cell r="GF27">
            <v>13902</v>
          </cell>
          <cell r="GG27">
            <v>2129</v>
          </cell>
          <cell r="GH27">
            <v>8353</v>
          </cell>
        </row>
        <row r="56">
          <cell r="GX56">
            <v>1775</v>
          </cell>
          <cell r="GY56">
            <v>406</v>
          </cell>
        </row>
        <row r="58">
          <cell r="GY58">
            <v>434</v>
          </cell>
        </row>
        <row r="59">
          <cell r="GY59">
            <v>498</v>
          </cell>
        </row>
        <row r="60">
          <cell r="GX60">
            <v>2718</v>
          </cell>
          <cell r="GY60">
            <v>536</v>
          </cell>
        </row>
        <row r="61">
          <cell r="GY61">
            <v>556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O858"/>
  <sheetViews>
    <sheetView tabSelected="1" zoomScaleNormal="100" zoomScaleSheetLayoutView="100" workbookViewId="0">
      <pane ySplit="3105" topLeftCell="A38" activePane="bottomLeft"/>
      <selection activeCell="AR10" sqref="AR10"/>
      <selection pane="bottomLeft" activeCell="AR49" sqref="AR49"/>
    </sheetView>
  </sheetViews>
  <sheetFormatPr defaultColWidth="18.44140625" defaultRowHeight="16.5" x14ac:dyDescent="0.3"/>
  <cols>
    <col min="1" max="1" width="7.44140625" style="2" customWidth="1"/>
    <col min="2" max="2" width="10" style="2" customWidth="1"/>
    <col min="3" max="3" width="0.109375" style="2" hidden="1" customWidth="1"/>
    <col min="4" max="4" width="0.88671875" style="2" customWidth="1"/>
    <col min="5" max="5" width="1" style="2" customWidth="1"/>
    <col min="6" max="6" width="10.6640625" style="2" customWidth="1"/>
    <col min="7" max="8" width="0.88671875" style="2" customWidth="1"/>
    <col min="9" max="9" width="11.109375" style="2" customWidth="1"/>
    <col min="10" max="11" width="0.88671875" style="2" customWidth="1"/>
    <col min="12" max="12" width="10.5546875" style="2" customWidth="1"/>
    <col min="13" max="14" width="0.88671875" style="2" customWidth="1"/>
    <col min="15" max="15" width="10.109375" style="2" customWidth="1"/>
    <col min="16" max="17" width="0.88671875" style="2" customWidth="1"/>
    <col min="18" max="18" width="8.77734375" style="2" customWidth="1"/>
    <col min="19" max="19" width="0.88671875" style="2" customWidth="1"/>
    <col min="20" max="20" width="0.77734375" style="2" customWidth="1"/>
    <col min="21" max="21" width="9.6640625" style="2" customWidth="1"/>
    <col min="22" max="22" width="0.6640625" style="2" customWidth="1"/>
    <col min="23" max="23" width="10.44140625" style="2" customWidth="1"/>
    <col min="24" max="27" width="5.77734375" style="2" hidden="1" customWidth="1"/>
    <col min="28" max="28" width="10.109375" style="2" hidden="1" customWidth="1"/>
    <col min="29" max="32" width="11.109375" style="2" hidden="1" customWidth="1"/>
    <col min="33" max="33" width="10.77734375" style="2" hidden="1" customWidth="1"/>
    <col min="34" max="37" width="11.109375" style="2" hidden="1" customWidth="1"/>
    <col min="38" max="38" width="11.77734375" style="2" hidden="1" customWidth="1"/>
    <col min="39" max="39" width="24.77734375" style="2" hidden="1" customWidth="1"/>
    <col min="40" max="41" width="11.109375" style="2" hidden="1" customWidth="1"/>
    <col min="42" max="42" width="10.77734375" style="2" hidden="1" customWidth="1"/>
    <col min="43" max="43" width="11.109375" style="2" hidden="1" customWidth="1"/>
    <col min="44" max="44" width="12.77734375" style="2" customWidth="1"/>
    <col min="45" max="45" width="9.88671875" style="2" hidden="1" customWidth="1"/>
    <col min="46" max="46" width="11.77734375" style="2" hidden="1" customWidth="1"/>
    <col min="47" max="49" width="10.109375" style="2" hidden="1" customWidth="1"/>
    <col min="50" max="50" width="11.44140625" style="2" hidden="1" customWidth="1"/>
    <col min="51" max="59" width="11.109375" style="2" hidden="1" customWidth="1"/>
    <col min="60" max="60" width="9.77734375" style="2" hidden="1" customWidth="1"/>
    <col min="61" max="63" width="11.109375" style="2" hidden="1" customWidth="1"/>
    <col min="64" max="64" width="7.77734375" style="2" hidden="1" customWidth="1"/>
    <col min="65" max="68" width="12.77734375" style="2" hidden="1" customWidth="1"/>
    <col min="69" max="69" width="9.77734375" style="2" hidden="1" customWidth="1"/>
    <col min="70" max="70" width="13.77734375" style="2" hidden="1" customWidth="1"/>
    <col min="71" max="71" width="11.6640625" style="2" hidden="1" customWidth="1"/>
    <col min="72" max="80" width="11.109375" style="2" hidden="1" customWidth="1"/>
    <col min="81" max="81" width="11.77734375" style="2" hidden="1" customWidth="1"/>
    <col min="82" max="88" width="11.109375" style="2" hidden="1" customWidth="1"/>
    <col min="89" max="89" width="10.77734375" style="2" hidden="1" customWidth="1"/>
    <col min="90" max="91" width="11.109375" style="2" hidden="1" customWidth="1"/>
    <col min="92" max="92" width="26.77734375" style="2" hidden="1" customWidth="1"/>
    <col min="93" max="106" width="11.109375" style="2" hidden="1" customWidth="1"/>
    <col min="107" max="107" width="12.5546875" style="4" hidden="1" customWidth="1"/>
    <col min="108" max="108" width="11.5546875" style="2" hidden="1" customWidth="1"/>
    <col min="109" max="109" width="13.109375" style="2" hidden="1" customWidth="1"/>
    <col min="110" max="122" width="11.109375" style="2" hidden="1" customWidth="1"/>
    <col min="123" max="123" width="35.6640625" style="2" hidden="1" customWidth="1"/>
    <col min="124" max="124" width="0" style="2" hidden="1" customWidth="1"/>
    <col min="125" max="125" width="9.77734375" style="2" hidden="1" customWidth="1"/>
    <col min="126" max="128" width="0" style="2" hidden="1" customWidth="1"/>
    <col min="129" max="129" width="45.77734375" style="2" hidden="1" customWidth="1"/>
    <col min="130" max="130" width="9.77734375" style="2" hidden="1" customWidth="1"/>
    <col min="131" max="131" width="8.77734375" style="2" hidden="1" customWidth="1"/>
    <col min="132" max="133" width="9.77734375" style="2" hidden="1" customWidth="1"/>
    <col min="134" max="135" width="8.77734375" style="2" hidden="1" customWidth="1"/>
    <col min="136" max="136" width="9.6640625" style="2" hidden="1" customWidth="1"/>
    <col min="137" max="138" width="8.77734375" style="2" hidden="1" customWidth="1"/>
    <col min="139" max="139" width="11.5546875" style="2" hidden="1" customWidth="1"/>
    <col min="140" max="144" width="0" style="2" hidden="1" customWidth="1"/>
    <col min="145" max="145" width="12.77734375" style="2" hidden="1" customWidth="1"/>
    <col min="146" max="146" width="11.77734375" style="2" hidden="1" customWidth="1"/>
    <col min="147" max="147" width="10.77734375" style="2" hidden="1" customWidth="1"/>
    <col min="148" max="150" width="0" style="2" hidden="1" customWidth="1"/>
    <col min="151" max="151" width="9.77734375" style="2" hidden="1" customWidth="1"/>
    <col min="152" max="155" width="12.77734375" style="2" hidden="1" customWidth="1"/>
    <col min="156" max="156" width="9.77734375" style="2" hidden="1" customWidth="1"/>
    <col min="157" max="157" width="13.77734375" style="2" hidden="1" customWidth="1"/>
    <col min="158" max="158" width="0" style="2" hidden="1" customWidth="1"/>
    <col min="159" max="159" width="34.77734375" style="2" hidden="1" customWidth="1"/>
    <col min="160" max="166" width="0" style="2" hidden="1" customWidth="1"/>
    <col min="167" max="167" width="11.77734375" style="2" hidden="1" customWidth="1"/>
    <col min="168" max="168" width="0" style="2" hidden="1" customWidth="1"/>
    <col min="169" max="171" width="11.77734375" style="2" hidden="1" customWidth="1"/>
    <col min="172" max="173" width="12.77734375" style="2" hidden="1" customWidth="1"/>
    <col min="174" max="179" width="0" style="2" hidden="1" customWidth="1"/>
    <col min="180" max="180" width="9.77734375" style="2" hidden="1" customWidth="1"/>
    <col min="181" max="181" width="10.77734375" style="2" hidden="1" customWidth="1"/>
    <col min="182" max="182" width="0" style="2" hidden="1" customWidth="1"/>
    <col min="183" max="183" width="13.6640625" style="2" hidden="1" customWidth="1"/>
    <col min="184" max="184" width="32.77734375" style="2" hidden="1" customWidth="1"/>
    <col min="185" max="201" width="0" style="2" hidden="1" customWidth="1"/>
    <col min="202" max="202" width="24.77734375" style="2" hidden="1" customWidth="1"/>
    <col min="203" max="215" width="0" style="2" hidden="1" customWidth="1"/>
    <col min="216" max="216" width="11.5546875" style="2" hidden="1" customWidth="1"/>
    <col min="217" max="217" width="32" style="2" hidden="1" customWidth="1"/>
    <col min="218" max="238" width="0" style="2" hidden="1" customWidth="1"/>
    <col min="239" max="16384" width="18.44140625" style="2"/>
  </cols>
  <sheetData>
    <row r="1" spans="1:249" x14ac:dyDescent="0.3">
      <c r="A1" s="1" t="s">
        <v>0</v>
      </c>
      <c r="W1" s="3" t="s">
        <v>1</v>
      </c>
    </row>
    <row r="2" spans="1:249" ht="18" customHeight="1" x14ac:dyDescent="0.3">
      <c r="A2" s="1" t="s">
        <v>352</v>
      </c>
      <c r="B2" s="5"/>
      <c r="C2" s="5"/>
      <c r="D2" s="5"/>
      <c r="E2" s="5"/>
      <c r="I2" s="5"/>
      <c r="J2" s="5"/>
      <c r="K2" s="5"/>
      <c r="O2" s="5"/>
      <c r="P2" s="5"/>
      <c r="Q2" s="5"/>
      <c r="R2" s="5"/>
      <c r="S2" s="5"/>
      <c r="T2" s="5"/>
      <c r="W2" s="3" t="s">
        <v>351</v>
      </c>
      <c r="X2" s="3"/>
      <c r="Y2" s="3"/>
      <c r="Z2" s="3"/>
      <c r="AA2" s="3"/>
      <c r="AB2" s="3"/>
      <c r="AC2" s="5"/>
      <c r="AD2" s="6" t="s">
        <v>2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7" t="s">
        <v>3</v>
      </c>
      <c r="AW2" s="5"/>
      <c r="AX2" s="5"/>
      <c r="AY2" s="5"/>
      <c r="AZ2" s="5"/>
      <c r="BA2" s="5"/>
      <c r="BB2" s="5"/>
      <c r="BC2" s="5"/>
      <c r="BD2" s="5"/>
      <c r="BE2" s="6" t="s">
        <v>4</v>
      </c>
      <c r="BF2" s="5"/>
      <c r="BG2" s="5"/>
      <c r="BH2" s="5"/>
      <c r="BI2" s="5"/>
      <c r="BJ2" s="5"/>
      <c r="BK2" s="5"/>
      <c r="BL2" s="8"/>
      <c r="BM2" s="8"/>
      <c r="BN2" s="5"/>
      <c r="BO2" s="9" t="s">
        <v>5</v>
      </c>
      <c r="BP2" s="8"/>
      <c r="BQ2" s="8"/>
      <c r="BR2" s="8"/>
      <c r="BS2" s="8"/>
      <c r="BT2" s="8"/>
      <c r="BU2" s="10"/>
      <c r="BV2" s="8"/>
      <c r="BW2" s="11" t="s">
        <v>6</v>
      </c>
      <c r="BX2" s="8"/>
      <c r="BY2" s="8"/>
      <c r="BZ2" s="8"/>
      <c r="CA2" s="8"/>
      <c r="CB2" s="8"/>
      <c r="CC2" s="8"/>
      <c r="CD2" s="8"/>
      <c r="CE2" s="5"/>
      <c r="CF2" s="5"/>
      <c r="CG2" s="5"/>
      <c r="CH2" s="5"/>
      <c r="CI2" s="5"/>
      <c r="CJ2" s="5"/>
      <c r="CK2" s="6" t="s">
        <v>7</v>
      </c>
      <c r="CL2" s="5"/>
      <c r="CM2" s="5"/>
      <c r="CN2" s="5"/>
      <c r="CO2" s="5"/>
      <c r="CP2" s="5"/>
      <c r="CQ2" s="5"/>
      <c r="CR2" s="6" t="s">
        <v>8</v>
      </c>
      <c r="CS2" s="5"/>
      <c r="CT2" s="5"/>
      <c r="CU2" s="5"/>
      <c r="CV2" s="5"/>
      <c r="CW2" s="5"/>
      <c r="CX2" s="5"/>
      <c r="CY2" s="5"/>
      <c r="CZ2" s="5"/>
      <c r="DA2" s="5"/>
      <c r="DB2" s="5"/>
      <c r="DC2" s="12"/>
      <c r="DD2" s="5"/>
      <c r="DE2" s="5"/>
      <c r="DF2" s="5"/>
      <c r="DG2" s="5"/>
      <c r="DH2" s="5"/>
      <c r="DI2" s="5"/>
      <c r="DJ2" s="5"/>
      <c r="DK2" s="5"/>
      <c r="DL2" s="5"/>
      <c r="DN2" s="5"/>
      <c r="DO2" s="13" t="s">
        <v>9</v>
      </c>
      <c r="DP2" s="5"/>
      <c r="DQ2" s="5"/>
      <c r="DR2" s="5"/>
      <c r="DS2" s="5"/>
      <c r="DT2" s="5"/>
      <c r="DU2" s="5"/>
      <c r="DV2" s="5"/>
      <c r="DW2" s="5"/>
      <c r="DX2" s="5"/>
      <c r="DY2" s="5"/>
      <c r="DZ2" s="6" t="s">
        <v>10</v>
      </c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U2" s="5"/>
      <c r="EV2" s="5"/>
      <c r="EW2" s="5"/>
      <c r="EX2" s="13" t="s">
        <v>11</v>
      </c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6" t="s">
        <v>12</v>
      </c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6" t="s">
        <v>7</v>
      </c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6" t="s">
        <v>13</v>
      </c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13" t="s">
        <v>14</v>
      </c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15.75" customHeight="1" x14ac:dyDescent="0.3">
      <c r="A3" s="1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13"/>
      <c r="M3" s="13"/>
      <c r="N3" s="13"/>
      <c r="O3" s="5"/>
      <c r="P3" s="5"/>
      <c r="Q3" s="5"/>
      <c r="R3" s="5"/>
      <c r="S3" s="5"/>
      <c r="T3" s="5"/>
      <c r="W3" s="15" t="s">
        <v>19</v>
      </c>
      <c r="X3" s="15"/>
      <c r="Y3" s="15"/>
      <c r="Z3" s="15"/>
      <c r="AA3" s="15"/>
      <c r="AB3" s="15"/>
      <c r="AC3" s="5"/>
      <c r="AD3" s="5"/>
      <c r="AE3" s="6" t="s">
        <v>20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7" t="s">
        <v>21</v>
      </c>
      <c r="AW3" s="16"/>
      <c r="AX3" s="5"/>
      <c r="AY3" s="5"/>
      <c r="AZ3" s="5"/>
      <c r="BA3" s="5"/>
      <c r="BB3" s="5"/>
      <c r="BC3" s="5"/>
      <c r="BD3" s="5"/>
      <c r="BE3" s="13" t="s">
        <v>22</v>
      </c>
      <c r="BF3" s="5"/>
      <c r="BG3" s="5"/>
      <c r="BH3" s="5"/>
      <c r="BI3" s="5"/>
      <c r="BJ3" s="5"/>
      <c r="BK3" s="5"/>
      <c r="BL3" s="8"/>
      <c r="BM3" s="8"/>
      <c r="BN3" s="8"/>
      <c r="BO3" s="8"/>
      <c r="BP3" s="11" t="s">
        <v>23</v>
      </c>
      <c r="BQ3" s="8"/>
      <c r="BR3" s="8"/>
      <c r="BS3" s="8"/>
      <c r="BT3" s="8"/>
      <c r="BU3" s="8"/>
      <c r="BV3" s="8"/>
      <c r="BW3" s="8"/>
      <c r="BX3" s="8"/>
      <c r="BY3" s="8"/>
      <c r="BZ3" s="11" t="s">
        <v>24</v>
      </c>
      <c r="CA3" s="8"/>
      <c r="CB3" s="8"/>
      <c r="CC3" s="8"/>
      <c r="CD3" s="8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12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6" t="s">
        <v>25</v>
      </c>
      <c r="EC3" s="5"/>
      <c r="ED3" s="5"/>
      <c r="EE3" s="5"/>
      <c r="EF3" s="5"/>
      <c r="EG3" s="5"/>
      <c r="EH3" s="5"/>
      <c r="EI3" s="5"/>
      <c r="EJ3" s="5"/>
      <c r="EK3" s="5"/>
      <c r="EL3" s="5"/>
      <c r="EU3" s="6" t="s">
        <v>26</v>
      </c>
      <c r="EV3" s="6" t="s">
        <v>27</v>
      </c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6" t="s">
        <v>28</v>
      </c>
      <c r="FQ3" s="6" t="s">
        <v>29</v>
      </c>
      <c r="FR3" s="8"/>
      <c r="FS3" s="5"/>
      <c r="FT3" s="5"/>
      <c r="FU3" s="5"/>
      <c r="FV3" s="5"/>
      <c r="FW3" s="5"/>
      <c r="FX3" s="5"/>
      <c r="FY3" s="6" t="s">
        <v>30</v>
      </c>
      <c r="FZ3" s="6" t="s">
        <v>31</v>
      </c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 t="s">
        <v>12</v>
      </c>
      <c r="GO3" s="5"/>
      <c r="GP3" s="5"/>
      <c r="GQ3" s="17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6" t="s">
        <v>15</v>
      </c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hidden="1" x14ac:dyDescent="0.3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7" t="s">
        <v>32</v>
      </c>
      <c r="AW4" s="5"/>
      <c r="AX4" s="5"/>
      <c r="AY4" s="5"/>
      <c r="AZ4" s="5"/>
      <c r="BA4" s="5"/>
      <c r="BB4" s="5"/>
      <c r="BC4" s="17"/>
      <c r="BD4" s="17"/>
      <c r="BE4" s="5"/>
      <c r="BF4" s="13" t="s">
        <v>33</v>
      </c>
      <c r="BG4" s="17"/>
      <c r="BH4" s="17"/>
      <c r="BI4" s="17"/>
      <c r="BJ4" s="5"/>
      <c r="BK4" s="5"/>
      <c r="BL4" s="11" t="s">
        <v>26</v>
      </c>
      <c r="BM4" s="11" t="s">
        <v>27</v>
      </c>
      <c r="BN4" s="8"/>
      <c r="BO4" s="8"/>
      <c r="BP4" s="8"/>
      <c r="BQ4" s="8"/>
      <c r="BR4" s="8"/>
      <c r="BS4" s="8"/>
      <c r="BT4" s="8"/>
      <c r="BU4" s="8"/>
      <c r="BV4" s="8"/>
      <c r="BW4" s="9"/>
      <c r="BX4" s="9"/>
      <c r="BY4" s="9"/>
      <c r="BZ4" s="9"/>
      <c r="CA4" s="9"/>
      <c r="CB4" s="9"/>
      <c r="CC4" s="9" t="s">
        <v>28</v>
      </c>
      <c r="CD4" s="9" t="s">
        <v>29</v>
      </c>
      <c r="CE4" s="5"/>
      <c r="CF4" s="5"/>
      <c r="CG4" s="5"/>
      <c r="CH4" s="5"/>
      <c r="CI4" s="5"/>
      <c r="CJ4" s="6" t="s">
        <v>31</v>
      </c>
      <c r="CK4" s="5"/>
      <c r="CL4" s="5"/>
      <c r="CM4" s="5"/>
      <c r="CN4" s="5"/>
      <c r="CO4" s="5"/>
      <c r="CP4" s="5"/>
      <c r="CQ4" s="5"/>
      <c r="CR4" s="5"/>
      <c r="CS4" s="5"/>
      <c r="CT4" s="5"/>
      <c r="CU4" s="17"/>
      <c r="CV4" s="13" t="s">
        <v>22</v>
      </c>
      <c r="CW4" s="17"/>
      <c r="CX4" s="17"/>
      <c r="CY4" s="17"/>
      <c r="CZ4" s="17"/>
      <c r="DA4" s="5"/>
      <c r="DB4" s="5"/>
      <c r="DC4" s="12" t="s">
        <v>34</v>
      </c>
      <c r="DD4" s="18" t="s">
        <v>17</v>
      </c>
      <c r="DE4" s="19" t="s">
        <v>35</v>
      </c>
      <c r="DF4" s="19" t="s">
        <v>36</v>
      </c>
      <c r="DG4" s="19" t="s">
        <v>37</v>
      </c>
      <c r="DH4" s="19" t="s">
        <v>38</v>
      </c>
      <c r="DI4" s="19" t="s">
        <v>39</v>
      </c>
      <c r="DJ4" s="19" t="s">
        <v>7</v>
      </c>
      <c r="DK4" s="19" t="s">
        <v>40</v>
      </c>
      <c r="DL4" s="19" t="s">
        <v>41</v>
      </c>
      <c r="DM4" s="19" t="s">
        <v>42</v>
      </c>
      <c r="DN4" s="19" t="s">
        <v>43</v>
      </c>
      <c r="DO4" s="19" t="s">
        <v>44</v>
      </c>
      <c r="DP4" s="19" t="s">
        <v>45</v>
      </c>
      <c r="DQ4" s="19" t="s">
        <v>46</v>
      </c>
      <c r="DR4" s="19" t="s">
        <v>47</v>
      </c>
      <c r="DS4" s="6" t="s">
        <v>48</v>
      </c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U4" s="6" t="s">
        <v>49</v>
      </c>
      <c r="EV4" s="6" t="s">
        <v>50</v>
      </c>
      <c r="EW4" s="6" t="s">
        <v>27</v>
      </c>
      <c r="EX4" s="6" t="s">
        <v>27</v>
      </c>
      <c r="EY4" s="6" t="s">
        <v>27</v>
      </c>
      <c r="EZ4" s="5"/>
      <c r="FA4" s="6" t="s">
        <v>51</v>
      </c>
      <c r="FB4" s="5"/>
      <c r="FC4" s="5"/>
      <c r="FD4" s="5"/>
      <c r="FE4" s="5"/>
      <c r="FF4" s="5"/>
      <c r="FG4" s="5"/>
      <c r="FH4" s="5"/>
      <c r="FI4" s="5"/>
      <c r="FJ4" s="5"/>
      <c r="FK4" s="6" t="s">
        <v>52</v>
      </c>
      <c r="FL4" s="5"/>
      <c r="FM4" s="6" t="s">
        <v>53</v>
      </c>
      <c r="FN4" s="6" t="s">
        <v>54</v>
      </c>
      <c r="FO4" s="6" t="s">
        <v>55</v>
      </c>
      <c r="FP4" s="6" t="s">
        <v>56</v>
      </c>
      <c r="FQ4" s="6" t="s">
        <v>57</v>
      </c>
      <c r="FR4" s="8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17"/>
      <c r="GN4" s="13" t="s">
        <v>22</v>
      </c>
      <c r="GO4" s="17"/>
      <c r="GP4" s="17"/>
      <c r="GQ4" s="17"/>
      <c r="GR4" s="17"/>
      <c r="GS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6" t="s">
        <v>30</v>
      </c>
      <c r="HG4" s="6" t="s">
        <v>31</v>
      </c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ht="20.25" customHeight="1" x14ac:dyDescent="0.3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7"/>
      <c r="AW5" s="5"/>
      <c r="AX5" s="5"/>
      <c r="AY5" s="5"/>
      <c r="AZ5" s="5"/>
      <c r="BA5" s="5"/>
      <c r="BB5" s="5"/>
      <c r="BC5" s="17"/>
      <c r="BD5" s="17"/>
      <c r="BE5" s="5"/>
      <c r="BF5" s="13"/>
      <c r="BG5" s="17"/>
      <c r="BH5" s="17"/>
      <c r="BI5" s="17"/>
      <c r="BJ5" s="5"/>
      <c r="BK5" s="5"/>
      <c r="BL5" s="11"/>
      <c r="BM5" s="11"/>
      <c r="BN5" s="8"/>
      <c r="BO5" s="8"/>
      <c r="BP5" s="8"/>
      <c r="BQ5" s="8"/>
      <c r="BR5" s="8"/>
      <c r="BS5" s="8"/>
      <c r="BT5" s="8"/>
      <c r="BU5" s="8"/>
      <c r="BV5" s="8"/>
      <c r="BW5" s="9"/>
      <c r="BX5" s="9"/>
      <c r="BY5" s="9"/>
      <c r="BZ5" s="9"/>
      <c r="CA5" s="9"/>
      <c r="CB5" s="9"/>
      <c r="CC5" s="9"/>
      <c r="CD5" s="9"/>
      <c r="CE5" s="5"/>
      <c r="CF5" s="5"/>
      <c r="CG5" s="5"/>
      <c r="CH5" s="5"/>
      <c r="CI5" s="5"/>
      <c r="CJ5" s="6"/>
      <c r="CK5" s="5"/>
      <c r="CL5" s="5"/>
      <c r="CM5" s="5"/>
      <c r="CN5" s="5"/>
      <c r="CO5" s="5"/>
      <c r="CP5" s="5"/>
      <c r="CQ5" s="5"/>
      <c r="CR5" s="5"/>
      <c r="CS5" s="5"/>
      <c r="CT5" s="5"/>
      <c r="CU5" s="17"/>
      <c r="CV5" s="13"/>
      <c r="CW5" s="17"/>
      <c r="CX5" s="17"/>
      <c r="CY5" s="17"/>
      <c r="CZ5" s="17"/>
      <c r="DA5" s="5"/>
      <c r="DB5" s="5"/>
      <c r="DC5" s="12"/>
      <c r="DD5" s="18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6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U5" s="6"/>
      <c r="EV5" s="6"/>
      <c r="EW5" s="6"/>
      <c r="EX5" s="6"/>
      <c r="EY5" s="6"/>
      <c r="EZ5" s="5"/>
      <c r="FA5" s="6"/>
      <c r="FB5" s="5"/>
      <c r="FC5" s="5"/>
      <c r="FD5" s="5"/>
      <c r="FE5" s="5"/>
      <c r="FF5" s="5"/>
      <c r="FG5" s="5"/>
      <c r="FH5" s="5"/>
      <c r="FI5" s="5"/>
      <c r="FJ5" s="5"/>
      <c r="FK5" s="6"/>
      <c r="FL5" s="5"/>
      <c r="FM5" s="6"/>
      <c r="FN5" s="6"/>
      <c r="FO5" s="6"/>
      <c r="FP5" s="6"/>
      <c r="FQ5" s="6"/>
      <c r="FR5" s="8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17"/>
      <c r="GN5" s="13"/>
      <c r="GO5" s="17"/>
      <c r="GP5" s="17"/>
      <c r="GQ5" s="17"/>
      <c r="GR5" s="17"/>
      <c r="GS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6"/>
      <c r="HG5" s="6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ht="15.95" customHeight="1" x14ac:dyDescent="0.3">
      <c r="A6" s="5"/>
      <c r="B6" s="208" t="s">
        <v>80</v>
      </c>
      <c r="C6" s="5"/>
      <c r="D6" s="5"/>
      <c r="E6" s="5"/>
      <c r="F6" s="205" t="s">
        <v>345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"/>
      <c r="T6" s="20"/>
      <c r="U6" s="209" t="s">
        <v>64</v>
      </c>
      <c r="V6" s="5"/>
      <c r="W6" s="5"/>
      <c r="X6" s="5"/>
      <c r="Y6" s="5"/>
      <c r="Z6" s="5"/>
      <c r="AA6" s="5"/>
      <c r="AB6" s="5"/>
      <c r="AC6" s="5"/>
      <c r="AD6" s="5"/>
      <c r="AE6" s="6" t="s">
        <v>58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6" t="s">
        <v>59</v>
      </c>
      <c r="AW6" s="5"/>
      <c r="AX6" s="5"/>
      <c r="AY6" s="5"/>
      <c r="AZ6" s="5"/>
      <c r="BA6" s="5"/>
      <c r="BB6" s="5"/>
      <c r="BC6" s="17"/>
      <c r="BD6" s="13" t="s">
        <v>60</v>
      </c>
      <c r="BE6" s="17"/>
      <c r="BF6" s="13" t="s">
        <v>61</v>
      </c>
      <c r="BG6" s="13" t="s">
        <v>62</v>
      </c>
      <c r="BH6" s="17"/>
      <c r="BI6" s="17"/>
      <c r="BJ6" s="5"/>
      <c r="BK6" s="5"/>
      <c r="BL6" s="11" t="s">
        <v>49</v>
      </c>
      <c r="BM6" s="11" t="s">
        <v>50</v>
      </c>
      <c r="BN6" s="11" t="s">
        <v>27</v>
      </c>
      <c r="BO6" s="11" t="s">
        <v>27</v>
      </c>
      <c r="BP6" s="11" t="s">
        <v>27</v>
      </c>
      <c r="BQ6" s="8"/>
      <c r="BR6" s="11" t="s">
        <v>51</v>
      </c>
      <c r="BS6" s="8"/>
      <c r="BT6" s="8"/>
      <c r="BU6" s="8"/>
      <c r="BV6" s="8"/>
      <c r="BW6" s="9"/>
      <c r="BX6" s="9" t="s">
        <v>52</v>
      </c>
      <c r="BY6" s="9"/>
      <c r="BZ6" s="9" t="s">
        <v>53</v>
      </c>
      <c r="CA6" s="9" t="s">
        <v>54</v>
      </c>
      <c r="CB6" s="9" t="s">
        <v>55</v>
      </c>
      <c r="CC6" s="9" t="s">
        <v>63</v>
      </c>
      <c r="CD6" s="9" t="s">
        <v>57</v>
      </c>
      <c r="CE6" s="5"/>
      <c r="CF6" s="5"/>
      <c r="CG6" s="5"/>
      <c r="CH6" s="5"/>
      <c r="CI6" s="5"/>
      <c r="CJ6" s="5"/>
      <c r="CK6" s="6" t="s">
        <v>30</v>
      </c>
      <c r="CL6" s="6" t="s">
        <v>31</v>
      </c>
      <c r="CM6" s="5"/>
      <c r="CN6" s="5"/>
      <c r="CO6" s="5"/>
      <c r="CP6" s="5"/>
      <c r="CQ6" s="5"/>
      <c r="CR6" s="5"/>
      <c r="CS6" s="5"/>
      <c r="CT6" s="5"/>
      <c r="CU6" s="17"/>
      <c r="CV6" s="17"/>
      <c r="CW6" s="17"/>
      <c r="CX6" s="17"/>
      <c r="CY6" s="17"/>
      <c r="CZ6" s="17"/>
      <c r="DA6" s="5"/>
      <c r="DB6" s="5"/>
      <c r="DC6" s="12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6" t="s">
        <v>64</v>
      </c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U6" s="6" t="s">
        <v>65</v>
      </c>
      <c r="EV6" s="6" t="s">
        <v>66</v>
      </c>
      <c r="EW6" s="6" t="s">
        <v>67</v>
      </c>
      <c r="EX6" s="6" t="s">
        <v>68</v>
      </c>
      <c r="EY6" s="6" t="s">
        <v>69</v>
      </c>
      <c r="EZ6" s="6" t="s">
        <v>70</v>
      </c>
      <c r="FA6" s="6" t="s">
        <v>71</v>
      </c>
      <c r="FB6" s="6" t="s">
        <v>72</v>
      </c>
      <c r="FC6" s="6" t="s">
        <v>73</v>
      </c>
      <c r="FD6" s="5"/>
      <c r="FE6" s="6" t="s">
        <v>74</v>
      </c>
      <c r="FF6" s="5"/>
      <c r="FG6" s="5"/>
      <c r="FH6" s="5"/>
      <c r="FI6" s="5"/>
      <c r="FJ6" s="13" t="s">
        <v>75</v>
      </c>
      <c r="FK6" s="6" t="s">
        <v>76</v>
      </c>
      <c r="FL6" s="6" t="s">
        <v>77</v>
      </c>
      <c r="FM6" s="6" t="s">
        <v>76</v>
      </c>
      <c r="FN6" s="6" t="s">
        <v>76</v>
      </c>
      <c r="FO6" s="6" t="s">
        <v>76</v>
      </c>
      <c r="FP6" s="6" t="s">
        <v>78</v>
      </c>
      <c r="FQ6" s="13" t="s">
        <v>79</v>
      </c>
      <c r="FR6" s="8"/>
      <c r="FS6" s="5"/>
      <c r="FT6" s="5"/>
      <c r="FU6" s="5"/>
      <c r="FV6" s="5"/>
      <c r="FW6" s="6" t="s">
        <v>31</v>
      </c>
      <c r="FX6" s="6" t="s">
        <v>31</v>
      </c>
      <c r="FY6" s="6" t="s">
        <v>32</v>
      </c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13" t="s">
        <v>60</v>
      </c>
      <c r="GN6" s="17"/>
      <c r="GO6" s="13" t="s">
        <v>33</v>
      </c>
      <c r="GP6" s="13" t="s">
        <v>62</v>
      </c>
      <c r="GQ6" s="17"/>
      <c r="GR6" s="5"/>
      <c r="GS6" s="5"/>
      <c r="GT6" s="8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ht="3.95" customHeight="1" x14ac:dyDescent="0.3">
      <c r="A7" s="5"/>
      <c r="B7" s="208"/>
      <c r="C7" s="5"/>
      <c r="D7" s="5"/>
      <c r="E7" s="5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"/>
      <c r="T7" s="20"/>
      <c r="U7" s="209"/>
      <c r="V7" s="5"/>
      <c r="W7" s="5"/>
      <c r="X7" s="5"/>
      <c r="Y7" s="5"/>
      <c r="Z7" s="5"/>
      <c r="AA7" s="5"/>
      <c r="AB7" s="5"/>
      <c r="AC7" s="5"/>
      <c r="AD7" s="5"/>
      <c r="AE7" s="6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6"/>
      <c r="AW7" s="5"/>
      <c r="AX7" s="5"/>
      <c r="AY7" s="5"/>
      <c r="AZ7" s="5"/>
      <c r="BA7" s="5"/>
      <c r="BB7" s="5"/>
      <c r="BC7" s="17"/>
      <c r="BD7" s="13"/>
      <c r="BE7" s="17"/>
      <c r="BF7" s="13"/>
      <c r="BG7" s="13"/>
      <c r="BH7" s="17"/>
      <c r="BI7" s="17"/>
      <c r="BJ7" s="5"/>
      <c r="BK7" s="5"/>
      <c r="BL7" s="11"/>
      <c r="BM7" s="11"/>
      <c r="BN7" s="11"/>
      <c r="BO7" s="11"/>
      <c r="BP7" s="11"/>
      <c r="BQ7" s="8"/>
      <c r="BR7" s="11"/>
      <c r="BS7" s="8"/>
      <c r="BT7" s="8"/>
      <c r="BU7" s="8"/>
      <c r="BV7" s="8"/>
      <c r="BW7" s="9"/>
      <c r="BX7" s="9"/>
      <c r="BY7" s="9"/>
      <c r="BZ7" s="9"/>
      <c r="CA7" s="9"/>
      <c r="CB7" s="9"/>
      <c r="CC7" s="9"/>
      <c r="CD7" s="9"/>
      <c r="CE7" s="5"/>
      <c r="CF7" s="5"/>
      <c r="CG7" s="5"/>
      <c r="CH7" s="5"/>
      <c r="CI7" s="5"/>
      <c r="CJ7" s="5"/>
      <c r="CK7" s="6"/>
      <c r="CL7" s="6"/>
      <c r="CM7" s="5"/>
      <c r="CN7" s="5"/>
      <c r="CO7" s="5"/>
      <c r="CP7" s="5"/>
      <c r="CQ7" s="5"/>
      <c r="CR7" s="5"/>
      <c r="CS7" s="5"/>
      <c r="CT7" s="5"/>
      <c r="CU7" s="17"/>
      <c r="CV7" s="17"/>
      <c r="CW7" s="17"/>
      <c r="CX7" s="17"/>
      <c r="CY7" s="17"/>
      <c r="CZ7" s="17"/>
      <c r="DA7" s="5"/>
      <c r="DB7" s="5"/>
      <c r="DC7" s="12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6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U7" s="6"/>
      <c r="EV7" s="6"/>
      <c r="EW7" s="6"/>
      <c r="EX7" s="6"/>
      <c r="EY7" s="6"/>
      <c r="EZ7" s="6"/>
      <c r="FA7" s="6"/>
      <c r="FB7" s="6"/>
      <c r="FC7" s="6"/>
      <c r="FD7" s="5"/>
      <c r="FE7" s="6"/>
      <c r="FF7" s="5"/>
      <c r="FG7" s="5"/>
      <c r="FH7" s="5"/>
      <c r="FI7" s="5"/>
      <c r="FJ7" s="13"/>
      <c r="FK7" s="6"/>
      <c r="FL7" s="6"/>
      <c r="FM7" s="6"/>
      <c r="FN7" s="6"/>
      <c r="FO7" s="6"/>
      <c r="FP7" s="6"/>
      <c r="FQ7" s="13"/>
      <c r="FR7" s="8"/>
      <c r="FS7" s="5"/>
      <c r="FT7" s="5"/>
      <c r="FU7" s="5"/>
      <c r="FV7" s="5"/>
      <c r="FW7" s="6"/>
      <c r="FX7" s="6"/>
      <c r="FY7" s="6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13"/>
      <c r="GN7" s="17"/>
      <c r="GO7" s="13"/>
      <c r="GP7" s="13"/>
      <c r="GQ7" s="17"/>
      <c r="GR7" s="5"/>
      <c r="GS7" s="5"/>
      <c r="GT7" s="8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ht="5.0999999999999996" customHeight="1" x14ac:dyDescent="0.3">
      <c r="A8" s="5"/>
      <c r="B8" s="208"/>
      <c r="C8" s="5"/>
      <c r="D8" s="5"/>
      <c r="E8" s="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09"/>
      <c r="V8" s="5"/>
      <c r="W8" s="5"/>
      <c r="X8" s="5"/>
      <c r="Y8" s="5"/>
      <c r="Z8" s="5"/>
      <c r="AA8" s="5"/>
      <c r="AB8" s="5"/>
      <c r="AC8" s="5"/>
      <c r="AD8" s="5"/>
      <c r="AE8" s="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6"/>
      <c r="AW8" s="5"/>
      <c r="AX8" s="5"/>
      <c r="AY8" s="5"/>
      <c r="AZ8" s="5"/>
      <c r="BA8" s="5"/>
      <c r="BB8" s="5"/>
      <c r="BC8" s="17"/>
      <c r="BD8" s="13"/>
      <c r="BE8" s="17"/>
      <c r="BF8" s="13"/>
      <c r="BG8" s="13"/>
      <c r="BH8" s="17"/>
      <c r="BI8" s="17"/>
      <c r="BJ8" s="5"/>
      <c r="BK8" s="5"/>
      <c r="BL8" s="11"/>
      <c r="BM8" s="11"/>
      <c r="BN8" s="11"/>
      <c r="BO8" s="11"/>
      <c r="BP8" s="11"/>
      <c r="BQ8" s="8"/>
      <c r="BR8" s="11"/>
      <c r="BS8" s="8"/>
      <c r="BT8" s="8"/>
      <c r="BU8" s="8"/>
      <c r="BV8" s="8"/>
      <c r="BW8" s="9"/>
      <c r="BX8" s="9"/>
      <c r="BY8" s="9"/>
      <c r="BZ8" s="9"/>
      <c r="CA8" s="9"/>
      <c r="CB8" s="9"/>
      <c r="CC8" s="9"/>
      <c r="CD8" s="9"/>
      <c r="CE8" s="5"/>
      <c r="CF8" s="5"/>
      <c r="CG8" s="5"/>
      <c r="CH8" s="5"/>
      <c r="CI8" s="5"/>
      <c r="CJ8" s="5"/>
      <c r="CK8" s="6"/>
      <c r="CL8" s="6"/>
      <c r="CM8" s="5"/>
      <c r="CN8" s="5"/>
      <c r="CO8" s="5"/>
      <c r="CP8" s="5"/>
      <c r="CQ8" s="5"/>
      <c r="CR8" s="5"/>
      <c r="CS8" s="5"/>
      <c r="CT8" s="5"/>
      <c r="CU8" s="17"/>
      <c r="CV8" s="17"/>
      <c r="CW8" s="17"/>
      <c r="CX8" s="17"/>
      <c r="CY8" s="17"/>
      <c r="CZ8" s="17"/>
      <c r="DA8" s="5"/>
      <c r="DB8" s="5"/>
      <c r="DC8" s="12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6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U8" s="6"/>
      <c r="EV8" s="6"/>
      <c r="EW8" s="6"/>
      <c r="EX8" s="6"/>
      <c r="EY8" s="6"/>
      <c r="EZ8" s="6"/>
      <c r="FA8" s="6"/>
      <c r="FB8" s="6"/>
      <c r="FC8" s="6"/>
      <c r="FD8" s="5"/>
      <c r="FE8" s="6"/>
      <c r="FF8" s="5"/>
      <c r="FG8" s="5"/>
      <c r="FH8" s="5"/>
      <c r="FI8" s="5"/>
      <c r="FJ8" s="13"/>
      <c r="FK8" s="6"/>
      <c r="FL8" s="6"/>
      <c r="FM8" s="6"/>
      <c r="FN8" s="6"/>
      <c r="FO8" s="6"/>
      <c r="FP8" s="6"/>
      <c r="FQ8" s="13"/>
      <c r="FR8" s="8"/>
      <c r="FS8" s="5"/>
      <c r="FT8" s="5"/>
      <c r="FU8" s="5"/>
      <c r="FV8" s="5"/>
      <c r="FW8" s="6"/>
      <c r="FX8" s="6"/>
      <c r="FY8" s="6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13"/>
      <c r="GN8" s="17"/>
      <c r="GO8" s="13"/>
      <c r="GP8" s="13"/>
      <c r="GQ8" s="17"/>
      <c r="GR8" s="5"/>
      <c r="GS8" s="5"/>
      <c r="GT8" s="8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ht="45.95" customHeight="1" x14ac:dyDescent="0.3">
      <c r="A9" s="5"/>
      <c r="B9" s="208"/>
      <c r="C9" s="23"/>
      <c r="D9" s="24"/>
      <c r="E9" s="23"/>
      <c r="F9" s="22" t="s">
        <v>358</v>
      </c>
      <c r="G9" s="25"/>
      <c r="H9" s="26"/>
      <c r="I9" s="22" t="s">
        <v>380</v>
      </c>
      <c r="J9" s="22"/>
      <c r="K9" s="27"/>
      <c r="L9" s="22" t="s">
        <v>381</v>
      </c>
      <c r="M9" s="28"/>
      <c r="N9" s="29"/>
      <c r="O9" s="30" t="s">
        <v>81</v>
      </c>
      <c r="P9" s="31"/>
      <c r="Q9" s="30"/>
      <c r="R9" s="32" t="s">
        <v>72</v>
      </c>
      <c r="S9" s="31"/>
      <c r="T9" s="30"/>
      <c r="U9" s="209"/>
      <c r="V9" s="33"/>
      <c r="W9" s="18"/>
      <c r="X9" s="18"/>
      <c r="Y9" s="18"/>
      <c r="Z9" s="18"/>
      <c r="AA9" s="18"/>
      <c r="AB9" s="18"/>
      <c r="AC9" s="5"/>
      <c r="AD9" s="5"/>
      <c r="AE9" s="5"/>
      <c r="AF9" s="6" t="s">
        <v>82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 t="s">
        <v>83</v>
      </c>
      <c r="AR9" s="5"/>
      <c r="AS9" s="6" t="s">
        <v>84</v>
      </c>
      <c r="AT9" s="6" t="s">
        <v>85</v>
      </c>
      <c r="AU9" s="6" t="s">
        <v>86</v>
      </c>
      <c r="AV9" s="11" t="s">
        <v>87</v>
      </c>
      <c r="AW9" s="6" t="s">
        <v>72</v>
      </c>
      <c r="AX9" s="6" t="s">
        <v>64</v>
      </c>
      <c r="AY9" s="5"/>
      <c r="AZ9" s="5"/>
      <c r="BA9" s="5"/>
      <c r="BB9" s="5"/>
      <c r="BC9" s="17"/>
      <c r="BD9" s="13" t="s">
        <v>88</v>
      </c>
      <c r="BE9" s="13" t="s">
        <v>75</v>
      </c>
      <c r="BF9" s="6" t="s">
        <v>89</v>
      </c>
      <c r="BG9" s="13" t="s">
        <v>90</v>
      </c>
      <c r="BH9" s="13" t="s">
        <v>91</v>
      </c>
      <c r="BI9" s="13" t="s">
        <v>92</v>
      </c>
      <c r="BJ9" s="5"/>
      <c r="BK9" s="5"/>
      <c r="BL9" s="11" t="s">
        <v>65</v>
      </c>
      <c r="BM9" s="11" t="s">
        <v>66</v>
      </c>
      <c r="BN9" s="11" t="s">
        <v>67</v>
      </c>
      <c r="BO9" s="11" t="s">
        <v>68</v>
      </c>
      <c r="BP9" s="11" t="s">
        <v>69</v>
      </c>
      <c r="BQ9" s="11" t="s">
        <v>70</v>
      </c>
      <c r="BR9" s="11" t="s">
        <v>71</v>
      </c>
      <c r="BS9" s="11" t="s">
        <v>72</v>
      </c>
      <c r="BT9" s="8"/>
      <c r="BU9" s="8"/>
      <c r="BV9" s="8"/>
      <c r="BW9" s="9" t="s">
        <v>75</v>
      </c>
      <c r="BX9" s="9" t="s">
        <v>93</v>
      </c>
      <c r="BY9" s="9" t="s">
        <v>77</v>
      </c>
      <c r="BZ9" s="9" t="s">
        <v>93</v>
      </c>
      <c r="CA9" s="9" t="s">
        <v>93</v>
      </c>
      <c r="CB9" s="9" t="s">
        <v>93</v>
      </c>
      <c r="CC9" s="9" t="s">
        <v>94</v>
      </c>
      <c r="CD9" s="9" t="s">
        <v>79</v>
      </c>
      <c r="CE9" s="5"/>
      <c r="CF9" s="5"/>
      <c r="CG9" s="5"/>
      <c r="CH9" s="5"/>
      <c r="CI9" s="6" t="s">
        <v>31</v>
      </c>
      <c r="CJ9" s="6" t="s">
        <v>31</v>
      </c>
      <c r="CK9" s="6" t="s">
        <v>32</v>
      </c>
      <c r="CL9" s="5"/>
      <c r="CM9" s="5"/>
      <c r="CN9" s="5"/>
      <c r="CO9" s="5"/>
      <c r="CP9" s="5"/>
      <c r="CQ9" s="5"/>
      <c r="CR9" s="5"/>
      <c r="CS9" s="5"/>
      <c r="CT9" s="5"/>
      <c r="CU9" s="13" t="s">
        <v>60</v>
      </c>
      <c r="CV9" s="17"/>
      <c r="CW9" s="13" t="s">
        <v>33</v>
      </c>
      <c r="CX9" s="13" t="s">
        <v>62</v>
      </c>
      <c r="CY9" s="17"/>
      <c r="CZ9" s="5"/>
      <c r="DA9" s="5"/>
      <c r="DB9" s="5"/>
      <c r="DC9" s="34" t="e">
        <f>DC11+#REF!+DC14+#REF!+DC30+#REF!+DC36</f>
        <v>#REF!</v>
      </c>
      <c r="DD9" s="34" t="e">
        <f>DD11+#REF!+DD14+#REF!+DD30+#REF!+DD36</f>
        <v>#REF!</v>
      </c>
      <c r="DE9" s="34" t="e">
        <f>DE11+#REF!+DE14+#REF!+DE30+#REF!+DE36</f>
        <v>#REF!</v>
      </c>
      <c r="DF9" s="34" t="e">
        <f>DF11+#REF!+DF14+#REF!+DF30+#REF!+DF36</f>
        <v>#REF!</v>
      </c>
      <c r="DG9" s="34" t="e">
        <f>DG11+#REF!+DG14+#REF!+DG30+#REF!+DG36</f>
        <v>#REF!</v>
      </c>
      <c r="DH9" s="34" t="e">
        <f>DH11+#REF!+DH14+#REF!+DH30+#REF!+DH36</f>
        <v>#REF!</v>
      </c>
      <c r="DI9" s="34" t="e">
        <f>DI11+#REF!+DI14+#REF!+DI30+#REF!+DI36</f>
        <v>#REF!</v>
      </c>
      <c r="DJ9" s="34">
        <v>71190</v>
      </c>
      <c r="DK9" s="34">
        <v>67770</v>
      </c>
      <c r="DL9" s="34">
        <v>65080</v>
      </c>
      <c r="DM9" s="34">
        <v>64190</v>
      </c>
      <c r="DN9" s="34">
        <v>63500</v>
      </c>
      <c r="DO9" s="34">
        <v>62360</v>
      </c>
      <c r="DP9" s="34">
        <v>61155</v>
      </c>
      <c r="DQ9" s="34">
        <v>54480</v>
      </c>
      <c r="DR9" s="34">
        <v>49849</v>
      </c>
      <c r="DS9" s="11" t="s">
        <v>64</v>
      </c>
      <c r="DT9" s="18"/>
      <c r="DU9" s="5"/>
      <c r="DV9" s="5"/>
      <c r="DW9" s="18"/>
      <c r="DX9" s="18"/>
      <c r="DY9" s="5"/>
      <c r="DZ9" s="18"/>
      <c r="EA9" s="18"/>
      <c r="EB9" s="18"/>
      <c r="EC9" s="18"/>
      <c r="ED9" s="5"/>
      <c r="EE9" s="5"/>
      <c r="EF9" s="5"/>
      <c r="EG9" s="5"/>
      <c r="EH9" s="5"/>
      <c r="EI9" s="5"/>
      <c r="EJ9" s="5"/>
      <c r="EK9" s="5"/>
      <c r="EL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8"/>
      <c r="FS9" s="5"/>
      <c r="FT9" s="5"/>
      <c r="FU9" s="5"/>
      <c r="FV9" s="6" t="s">
        <v>84</v>
      </c>
      <c r="FW9" s="6" t="s">
        <v>95</v>
      </c>
      <c r="FX9" s="6" t="s">
        <v>96</v>
      </c>
      <c r="FY9" s="6" t="s">
        <v>97</v>
      </c>
      <c r="FZ9" s="6" t="s">
        <v>72</v>
      </c>
      <c r="GA9" s="6" t="s">
        <v>64</v>
      </c>
      <c r="GB9" s="6" t="s">
        <v>48</v>
      </c>
      <c r="GC9" s="5"/>
      <c r="GD9" s="5"/>
      <c r="GE9" s="5"/>
      <c r="GF9" s="5"/>
      <c r="GG9" s="5"/>
      <c r="GH9" s="6" t="s">
        <v>74</v>
      </c>
      <c r="GI9" s="5"/>
      <c r="GJ9" s="5"/>
      <c r="GK9" s="5"/>
      <c r="GL9" s="5"/>
      <c r="GM9" s="13" t="s">
        <v>88</v>
      </c>
      <c r="GN9" s="13" t="s">
        <v>75</v>
      </c>
      <c r="GO9" s="13" t="s">
        <v>98</v>
      </c>
      <c r="GP9" s="13" t="s">
        <v>90</v>
      </c>
      <c r="GQ9" s="13" t="s">
        <v>91</v>
      </c>
      <c r="GR9" s="13" t="s">
        <v>92</v>
      </c>
      <c r="GS9" s="5"/>
      <c r="GV9" s="5"/>
      <c r="GW9" s="5"/>
      <c r="GX9" s="5"/>
      <c r="GY9" s="5"/>
      <c r="GZ9" s="5"/>
      <c r="HA9" s="5"/>
      <c r="HB9" s="5"/>
      <c r="HC9" s="5"/>
      <c r="HD9" s="6" t="s">
        <v>31</v>
      </c>
      <c r="HE9" s="6" t="s">
        <v>31</v>
      </c>
      <c r="HF9" s="6" t="s">
        <v>32</v>
      </c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ht="56.25" customHeight="1" x14ac:dyDescent="0.3">
      <c r="A10" s="5"/>
      <c r="B10" s="39" t="s">
        <v>99</v>
      </c>
      <c r="C10" s="35"/>
      <c r="D10" s="36"/>
      <c r="E10" s="35"/>
      <c r="F10" s="29" t="s">
        <v>359</v>
      </c>
      <c r="G10" s="37"/>
      <c r="H10" s="38"/>
      <c r="I10" s="29" t="s">
        <v>384</v>
      </c>
      <c r="J10" s="29"/>
      <c r="K10" s="39"/>
      <c r="L10" s="29" t="s">
        <v>383</v>
      </c>
      <c r="M10" s="40"/>
      <c r="N10" s="29"/>
      <c r="O10" s="41" t="s">
        <v>100</v>
      </c>
      <c r="P10" s="42"/>
      <c r="Q10" s="41"/>
      <c r="R10" s="43" t="s">
        <v>75</v>
      </c>
      <c r="S10" s="42"/>
      <c r="T10" s="41"/>
      <c r="U10" s="44" t="s">
        <v>101</v>
      </c>
      <c r="V10" s="45"/>
      <c r="W10" s="18"/>
      <c r="X10" s="18"/>
      <c r="Y10" s="18"/>
      <c r="Z10" s="18"/>
      <c r="AA10" s="18"/>
      <c r="AB10" s="18"/>
      <c r="AC10" s="5"/>
      <c r="AD10" s="5"/>
      <c r="AE10" s="5"/>
      <c r="AF10" s="5"/>
      <c r="AG10" s="5"/>
      <c r="AH10" s="5"/>
      <c r="AI10" s="6" t="s">
        <v>102</v>
      </c>
      <c r="AJ10" s="5"/>
      <c r="AK10" s="5"/>
      <c r="AL10" s="6" t="s">
        <v>103</v>
      </c>
      <c r="AM10" s="5"/>
      <c r="AN10" s="5"/>
      <c r="AO10" s="5"/>
      <c r="AP10" s="5"/>
      <c r="AQ10" s="8"/>
      <c r="AR10" s="8"/>
      <c r="AS10" s="8"/>
      <c r="AT10" s="8"/>
      <c r="AU10" s="8"/>
      <c r="AV10" s="5"/>
      <c r="AW10" s="8"/>
      <c r="AX10" s="8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8"/>
      <c r="BM10" s="8"/>
      <c r="BN10" s="8"/>
      <c r="BO10" s="11" t="s">
        <v>64</v>
      </c>
      <c r="BP10" s="8"/>
      <c r="BQ10" s="8"/>
      <c r="BR10" s="8"/>
      <c r="BS10" s="8"/>
      <c r="BT10" s="8"/>
      <c r="BU10" s="8"/>
      <c r="BV10" s="8"/>
      <c r="BW10" s="8"/>
      <c r="BX10" s="8"/>
      <c r="BY10" s="11" t="s">
        <v>101</v>
      </c>
      <c r="BZ10" s="8"/>
      <c r="CA10" s="8"/>
      <c r="CB10" s="8"/>
      <c r="CC10" s="8"/>
      <c r="CD10" s="8"/>
      <c r="CE10" s="5"/>
      <c r="CF10" s="5"/>
      <c r="CG10" s="5"/>
      <c r="CH10" s="6" t="s">
        <v>84</v>
      </c>
      <c r="CI10" s="6" t="s">
        <v>95</v>
      </c>
      <c r="CJ10" s="6" t="s">
        <v>96</v>
      </c>
      <c r="CK10" s="6" t="s">
        <v>97</v>
      </c>
      <c r="CL10" s="6" t="s">
        <v>72</v>
      </c>
      <c r="CM10" s="6" t="s">
        <v>64</v>
      </c>
      <c r="CN10" s="6" t="s">
        <v>23</v>
      </c>
      <c r="CO10" s="5"/>
      <c r="CP10" s="5"/>
      <c r="CQ10" s="6" t="s">
        <v>24</v>
      </c>
      <c r="CR10" s="5"/>
      <c r="CS10" s="5"/>
      <c r="CT10" s="5"/>
      <c r="CU10" s="13" t="s">
        <v>88</v>
      </c>
      <c r="CV10" s="13" t="s">
        <v>75</v>
      </c>
      <c r="CW10" s="13" t="s">
        <v>98</v>
      </c>
      <c r="CX10" s="13" t="s">
        <v>90</v>
      </c>
      <c r="CY10" s="13" t="s">
        <v>91</v>
      </c>
      <c r="CZ10" s="13" t="s">
        <v>92</v>
      </c>
      <c r="DA10" s="5"/>
      <c r="DB10" s="5"/>
      <c r="DC10" s="46"/>
      <c r="DD10" s="46"/>
      <c r="DE10" s="34"/>
      <c r="DF10" s="34"/>
      <c r="DG10" s="34"/>
      <c r="DH10" s="34"/>
      <c r="DI10" s="34"/>
      <c r="DJ10" s="18"/>
      <c r="DK10" s="18"/>
      <c r="DL10" s="18"/>
      <c r="DM10" s="18"/>
      <c r="DN10" s="18"/>
      <c r="DO10" s="18"/>
      <c r="DP10" s="18"/>
      <c r="DQ10" s="18"/>
      <c r="DR10" s="18"/>
      <c r="DS10" s="8"/>
      <c r="DT10" s="18"/>
      <c r="DU10" s="5"/>
      <c r="DV10" s="5"/>
      <c r="DW10" s="18"/>
      <c r="DX10" s="18"/>
      <c r="DY10" s="19" t="s">
        <v>74</v>
      </c>
      <c r="DZ10" s="19" t="s">
        <v>104</v>
      </c>
      <c r="EA10" s="19" t="s">
        <v>105</v>
      </c>
      <c r="EB10" s="19" t="s">
        <v>106</v>
      </c>
      <c r="EC10" s="19" t="s">
        <v>107</v>
      </c>
      <c r="ED10" s="19" t="s">
        <v>108</v>
      </c>
      <c r="EE10" s="19" t="s">
        <v>109</v>
      </c>
      <c r="EF10" s="19" t="s">
        <v>110</v>
      </c>
      <c r="EG10" s="19" t="s">
        <v>111</v>
      </c>
      <c r="EH10" s="19" t="s">
        <v>12</v>
      </c>
      <c r="EI10" s="19" t="s">
        <v>112</v>
      </c>
      <c r="EJ10" s="19" t="s">
        <v>113</v>
      </c>
      <c r="EK10" s="6" t="s">
        <v>114</v>
      </c>
      <c r="EL10" s="6" t="s">
        <v>115</v>
      </c>
      <c r="EM10" s="47" t="s">
        <v>116</v>
      </c>
      <c r="EN10" s="2" t="s">
        <v>117</v>
      </c>
      <c r="EU10" s="8">
        <v>640</v>
      </c>
      <c r="EV10" s="8">
        <v>6410</v>
      </c>
      <c r="EW10" s="8">
        <v>7030</v>
      </c>
      <c r="EX10" s="8">
        <v>10200</v>
      </c>
      <c r="EY10" s="8">
        <v>19440</v>
      </c>
      <c r="EZ10" s="8">
        <v>9770</v>
      </c>
      <c r="FA10" s="8">
        <v>17700</v>
      </c>
      <c r="FB10" s="8">
        <v>71190</v>
      </c>
      <c r="FC10" s="11" t="s">
        <v>64</v>
      </c>
      <c r="FD10" s="8"/>
      <c r="FE10" s="11" t="s">
        <v>101</v>
      </c>
      <c r="FF10" s="8"/>
      <c r="FG10" s="8"/>
      <c r="FH10" s="8"/>
      <c r="FI10" s="8"/>
      <c r="FJ10" s="34">
        <v>71190</v>
      </c>
      <c r="FK10" s="34">
        <v>17700</v>
      </c>
      <c r="FL10" s="34">
        <v>9770</v>
      </c>
      <c r="FM10" s="34">
        <v>19440</v>
      </c>
      <c r="FN10" s="34">
        <v>10200</v>
      </c>
      <c r="FO10" s="34">
        <v>7030</v>
      </c>
      <c r="FP10" s="34">
        <v>6410</v>
      </c>
      <c r="FQ10" s="34">
        <v>640</v>
      </c>
      <c r="FR10" s="8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V10" s="5"/>
      <c r="GW10" s="5"/>
      <c r="GX10" s="5"/>
      <c r="GY10" s="5"/>
      <c r="GZ10" s="5"/>
      <c r="HA10" s="5"/>
      <c r="HB10" s="5"/>
      <c r="HC10" s="6" t="s">
        <v>84</v>
      </c>
      <c r="HD10" s="6" t="s">
        <v>95</v>
      </c>
      <c r="HE10" s="6" t="s">
        <v>96</v>
      </c>
      <c r="HF10" s="6" t="s">
        <v>97</v>
      </c>
      <c r="HG10" s="6" t="s">
        <v>72</v>
      </c>
      <c r="HH10" s="6" t="s">
        <v>64</v>
      </c>
      <c r="HI10" s="6" t="s">
        <v>48</v>
      </c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ht="5.0999999999999996" customHeight="1" x14ac:dyDescent="0.3">
      <c r="A11" s="117"/>
      <c r="B11" s="48"/>
      <c r="C11" s="49"/>
      <c r="D11" s="49"/>
      <c r="E11" s="49"/>
      <c r="F11" s="50"/>
      <c r="G11" s="50"/>
      <c r="H11" s="50"/>
      <c r="I11" s="48"/>
      <c r="J11" s="48"/>
      <c r="K11" s="48"/>
      <c r="L11" s="51"/>
      <c r="M11" s="48"/>
      <c r="N11" s="48"/>
      <c r="O11" s="49"/>
      <c r="P11" s="49"/>
      <c r="Q11" s="49"/>
      <c r="R11" s="49"/>
      <c r="S11" s="49"/>
      <c r="T11" s="49"/>
      <c r="U11" s="49"/>
      <c r="V11" s="49"/>
      <c r="W11" s="18"/>
      <c r="X11" s="18"/>
      <c r="Y11" s="18"/>
      <c r="Z11" s="18"/>
      <c r="AA11" s="18"/>
      <c r="AB11" s="18"/>
      <c r="AC11" s="5"/>
      <c r="AD11" s="5"/>
      <c r="AE11" s="13" t="s">
        <v>60</v>
      </c>
      <c r="AF11" s="5"/>
      <c r="AG11" s="6" t="s">
        <v>118</v>
      </c>
      <c r="AH11" s="6" t="s">
        <v>119</v>
      </c>
      <c r="AI11" s="6" t="s">
        <v>120</v>
      </c>
      <c r="AJ11" s="6" t="s">
        <v>121</v>
      </c>
      <c r="AK11" s="5"/>
      <c r="AL11" s="6" t="s">
        <v>122</v>
      </c>
      <c r="AM11" s="5"/>
      <c r="AN11" s="5"/>
      <c r="AO11" s="8"/>
      <c r="AP11" s="5"/>
      <c r="AQ11" s="34" t="s">
        <v>123</v>
      </c>
      <c r="AR11" s="34"/>
      <c r="AS11" s="34" t="s">
        <v>124</v>
      </c>
      <c r="AT11" s="34">
        <v>86</v>
      </c>
      <c r="AU11" s="34" t="s">
        <v>125</v>
      </c>
      <c r="AV11" s="8">
        <v>190</v>
      </c>
      <c r="AW11" s="8">
        <v>1549</v>
      </c>
      <c r="AX11" s="8">
        <f>AS11+AT11+AU11+AW11</f>
        <v>1635</v>
      </c>
      <c r="AY11" s="6" t="s">
        <v>126</v>
      </c>
      <c r="AZ11" s="5"/>
      <c r="BA11" s="5"/>
      <c r="BB11" s="5"/>
      <c r="BC11" s="6" t="s">
        <v>127</v>
      </c>
      <c r="BD11" s="8">
        <f>BE11+BG11+BH11+BI11</f>
        <v>1635</v>
      </c>
      <c r="BE11" s="8">
        <v>1549</v>
      </c>
      <c r="BF11" s="8">
        <v>190</v>
      </c>
      <c r="BG11" s="34" t="s">
        <v>125</v>
      </c>
      <c r="BH11" s="8">
        <v>86</v>
      </c>
      <c r="BI11" s="34" t="s">
        <v>124</v>
      </c>
      <c r="BJ11" s="5"/>
      <c r="BK11" s="5"/>
      <c r="BL11" s="8">
        <v>419</v>
      </c>
      <c r="BM11" s="8">
        <v>1297</v>
      </c>
      <c r="BN11" s="8">
        <v>2794</v>
      </c>
      <c r="BO11" s="8">
        <v>4273</v>
      </c>
      <c r="BP11" s="8">
        <v>7958</v>
      </c>
      <c r="BQ11" s="8">
        <v>6045</v>
      </c>
      <c r="BR11" s="8">
        <v>12588</v>
      </c>
      <c r="BS11" s="8">
        <v>35374</v>
      </c>
      <c r="BT11" s="11" t="s">
        <v>128</v>
      </c>
      <c r="BU11" s="8"/>
      <c r="BV11" s="11" t="s">
        <v>129</v>
      </c>
      <c r="BW11" s="8">
        <v>35374</v>
      </c>
      <c r="BX11" s="8">
        <v>12588</v>
      </c>
      <c r="BY11" s="8">
        <v>6045</v>
      </c>
      <c r="BZ11" s="8">
        <v>7958</v>
      </c>
      <c r="CA11" s="8">
        <v>4273</v>
      </c>
      <c r="CB11" s="8">
        <v>2794</v>
      </c>
      <c r="CC11" s="8">
        <v>1297</v>
      </c>
      <c r="CD11" s="8">
        <v>419</v>
      </c>
      <c r="CE11" s="8"/>
      <c r="CF11" s="8"/>
      <c r="CG11" s="8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34">
        <f t="shared" ref="DC11:DI11" si="0">SUM(DC12:DC13)</f>
        <v>0</v>
      </c>
      <c r="DD11" s="34">
        <f t="shared" si="0"/>
        <v>0</v>
      </c>
      <c r="DE11" s="34">
        <f t="shared" si="0"/>
        <v>0</v>
      </c>
      <c r="DF11" s="34">
        <f t="shared" si="0"/>
        <v>0</v>
      </c>
      <c r="DG11" s="34">
        <f t="shared" si="0"/>
        <v>0</v>
      </c>
      <c r="DH11" s="34">
        <f t="shared" si="0"/>
        <v>0</v>
      </c>
      <c r="DI11" s="34">
        <f t="shared" si="0"/>
        <v>0</v>
      </c>
      <c r="DJ11" s="34">
        <v>19608</v>
      </c>
      <c r="DK11" s="34">
        <v>18776</v>
      </c>
      <c r="DL11" s="34">
        <v>17837</v>
      </c>
      <c r="DM11" s="34">
        <v>17969</v>
      </c>
      <c r="DN11" s="34">
        <v>18135</v>
      </c>
      <c r="DO11" s="34">
        <v>18498</v>
      </c>
      <c r="DP11" s="34">
        <v>18094</v>
      </c>
      <c r="DQ11" s="34">
        <v>16715</v>
      </c>
      <c r="DR11" s="34">
        <v>15249</v>
      </c>
      <c r="DS11" s="11" t="s">
        <v>130</v>
      </c>
      <c r="DT11" s="18"/>
      <c r="DU11" s="5"/>
      <c r="DV11" s="5"/>
      <c r="DW11" s="18"/>
      <c r="DX11" s="18"/>
      <c r="DY11" s="18"/>
      <c r="DZ11" s="18"/>
      <c r="EA11" s="18"/>
      <c r="EB11" s="18"/>
      <c r="EC11" s="19" t="s">
        <v>75</v>
      </c>
      <c r="ED11" s="5"/>
      <c r="EE11" s="5"/>
      <c r="EF11" s="5"/>
      <c r="EG11" s="5"/>
      <c r="EH11" s="5"/>
      <c r="EI11" s="5"/>
      <c r="EJ11" s="5"/>
      <c r="EK11" s="5"/>
      <c r="EL11" s="5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34"/>
      <c r="FK11" s="34"/>
      <c r="FL11" s="34"/>
      <c r="FM11" s="34"/>
      <c r="FN11" s="34"/>
      <c r="FO11" s="34"/>
      <c r="FP11" s="34"/>
      <c r="FQ11" s="34"/>
      <c r="FR11" s="8"/>
      <c r="FS11" s="5"/>
      <c r="FT11" s="5"/>
      <c r="FU11" s="5"/>
      <c r="FV11" s="8">
        <v>940</v>
      </c>
      <c r="FW11" s="8">
        <v>4360</v>
      </c>
      <c r="FX11" s="8">
        <v>17140</v>
      </c>
      <c r="FY11" s="8">
        <v>15425</v>
      </c>
      <c r="FZ11" s="8">
        <v>48750</v>
      </c>
      <c r="GA11" s="8">
        <v>71190</v>
      </c>
      <c r="GB11" s="6" t="s">
        <v>64</v>
      </c>
      <c r="GC11" s="8"/>
      <c r="GD11" s="8"/>
      <c r="GE11" s="8"/>
      <c r="GF11" s="8"/>
      <c r="GG11" s="8"/>
      <c r="GH11" s="11" t="s">
        <v>101</v>
      </c>
      <c r="GI11" s="8"/>
      <c r="GJ11" s="8"/>
      <c r="GK11" s="8"/>
      <c r="GL11" s="8"/>
      <c r="GM11" s="8">
        <v>71190</v>
      </c>
      <c r="GN11" s="8">
        <v>48750</v>
      </c>
      <c r="GO11" s="8">
        <v>15425</v>
      </c>
      <c r="GP11" s="8">
        <v>17140</v>
      </c>
      <c r="GQ11" s="8">
        <v>4360</v>
      </c>
      <c r="GR11" s="8">
        <v>940</v>
      </c>
      <c r="GS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ht="5.0999999999999996" customHeight="1" x14ac:dyDescent="0.3">
      <c r="A12" s="52"/>
      <c r="B12" s="52"/>
      <c r="F12" s="52"/>
      <c r="G12" s="52"/>
      <c r="H12" s="52"/>
      <c r="I12" s="52"/>
      <c r="K12" s="52"/>
      <c r="L12" s="53"/>
      <c r="M12" s="52"/>
      <c r="N12" s="52"/>
      <c r="O12" s="52"/>
      <c r="R12" s="54"/>
      <c r="S12" s="52"/>
      <c r="T12" s="52"/>
      <c r="V12" s="52"/>
      <c r="AC12" s="5"/>
      <c r="AD12" s="6" t="s">
        <v>131</v>
      </c>
      <c r="AE12" s="13" t="s">
        <v>88</v>
      </c>
      <c r="AF12" s="13" t="s">
        <v>75</v>
      </c>
      <c r="AG12" s="6" t="s">
        <v>132</v>
      </c>
      <c r="AH12" s="6" t="s">
        <v>133</v>
      </c>
      <c r="AI12" s="6" t="s">
        <v>133</v>
      </c>
      <c r="AJ12" s="6" t="s">
        <v>134</v>
      </c>
      <c r="AK12" s="5"/>
      <c r="AL12" s="6" t="s">
        <v>135</v>
      </c>
      <c r="AM12" s="5"/>
      <c r="AN12" s="5"/>
      <c r="AO12" s="8"/>
      <c r="AP12" s="5"/>
      <c r="AQ12" s="34" t="s">
        <v>123</v>
      </c>
      <c r="AR12" s="34"/>
      <c r="AS12" s="34" t="s">
        <v>124</v>
      </c>
      <c r="AT12" s="34">
        <v>114</v>
      </c>
      <c r="AU12" s="34" t="s">
        <v>125</v>
      </c>
      <c r="AV12" s="8">
        <v>1030</v>
      </c>
      <c r="AW12" s="8">
        <v>2336</v>
      </c>
      <c r="AX12" s="8">
        <f>AS12+AT12+AU12+AW12</f>
        <v>2450</v>
      </c>
      <c r="AY12" s="6" t="s">
        <v>136</v>
      </c>
      <c r="AZ12" s="5"/>
      <c r="BA12" s="5"/>
      <c r="BB12" s="5"/>
      <c r="BC12" s="6" t="s">
        <v>137</v>
      </c>
      <c r="BD12" s="8">
        <f>BE12+BG12+BH12+BI12</f>
        <v>2450</v>
      </c>
      <c r="BE12" s="8">
        <v>2336</v>
      </c>
      <c r="BF12" s="8">
        <v>1030</v>
      </c>
      <c r="BG12" s="34" t="s">
        <v>125</v>
      </c>
      <c r="BH12" s="8">
        <v>114</v>
      </c>
      <c r="BI12" s="34" t="s">
        <v>124</v>
      </c>
      <c r="BJ12" s="5"/>
      <c r="BK12" s="5"/>
      <c r="BL12" s="8">
        <v>580</v>
      </c>
      <c r="BM12" s="8">
        <v>3247</v>
      </c>
      <c r="BN12" s="8">
        <v>4713</v>
      </c>
      <c r="BO12" s="8">
        <v>6527</v>
      </c>
      <c r="BP12" s="8">
        <v>12813</v>
      </c>
      <c r="BQ12" s="8">
        <v>8453</v>
      </c>
      <c r="BR12" s="8">
        <v>13516</v>
      </c>
      <c r="BS12" s="8">
        <v>49849</v>
      </c>
      <c r="BT12" s="11" t="s">
        <v>47</v>
      </c>
      <c r="BU12" s="8"/>
      <c r="BV12" s="11" t="s">
        <v>138</v>
      </c>
      <c r="BW12" s="8">
        <v>49849</v>
      </c>
      <c r="BX12" s="8">
        <v>13516</v>
      </c>
      <c r="BY12" s="8">
        <v>8453</v>
      </c>
      <c r="BZ12" s="8">
        <v>12813</v>
      </c>
      <c r="CA12" s="8">
        <v>6527</v>
      </c>
      <c r="CB12" s="8">
        <v>4713</v>
      </c>
      <c r="CC12" s="8">
        <v>3247</v>
      </c>
      <c r="CD12" s="8">
        <v>580</v>
      </c>
      <c r="CE12" s="8"/>
      <c r="CF12" s="8"/>
      <c r="CG12" s="8"/>
      <c r="CH12" s="8">
        <v>940</v>
      </c>
      <c r="CI12" s="8">
        <v>4360</v>
      </c>
      <c r="CJ12" s="8">
        <v>17140</v>
      </c>
      <c r="CK12" s="8">
        <v>15425</v>
      </c>
      <c r="CL12" s="8">
        <v>48750</v>
      </c>
      <c r="CM12" s="8">
        <v>71190</v>
      </c>
      <c r="CN12" s="6" t="s">
        <v>72</v>
      </c>
      <c r="CO12" s="8"/>
      <c r="CP12" s="8"/>
      <c r="CQ12" s="11" t="s">
        <v>75</v>
      </c>
      <c r="CR12" s="8"/>
      <c r="CS12" s="8"/>
      <c r="CT12" s="8"/>
      <c r="CU12" s="8">
        <v>71190</v>
      </c>
      <c r="CV12" s="8">
        <v>48750</v>
      </c>
      <c r="CW12" s="8">
        <v>15425</v>
      </c>
      <c r="CX12" s="8">
        <v>17140</v>
      </c>
      <c r="CY12" s="8">
        <v>4360</v>
      </c>
      <c r="CZ12" s="8">
        <v>940</v>
      </c>
      <c r="DA12" s="5"/>
      <c r="DB12" s="5"/>
      <c r="DC12" s="46"/>
      <c r="DD12" s="46"/>
      <c r="DE12" s="8"/>
      <c r="DF12" s="8"/>
      <c r="DG12" s="8"/>
      <c r="DH12" s="8"/>
      <c r="DI12" s="34"/>
      <c r="DJ12" s="18"/>
      <c r="DK12" s="18"/>
      <c r="DL12" s="18"/>
      <c r="DM12" s="18"/>
      <c r="DN12" s="18"/>
      <c r="DO12" s="18"/>
      <c r="DP12" s="18"/>
      <c r="DQ12" s="18"/>
      <c r="DR12" s="18"/>
      <c r="DS12" s="8"/>
      <c r="DT12" s="18"/>
      <c r="DU12" s="5"/>
      <c r="DV12" s="5"/>
      <c r="DW12" s="18"/>
      <c r="DX12" s="18"/>
      <c r="DY12" s="19" t="s">
        <v>101</v>
      </c>
      <c r="DZ12" s="34">
        <v>49849</v>
      </c>
      <c r="EA12" s="34">
        <v>54480</v>
      </c>
      <c r="EB12" s="34">
        <v>61155</v>
      </c>
      <c r="EC12" s="34">
        <v>62360</v>
      </c>
      <c r="ED12" s="8">
        <v>63500</v>
      </c>
      <c r="EE12" s="8">
        <v>64190</v>
      </c>
      <c r="EF12" s="8">
        <v>65080</v>
      </c>
      <c r="EG12" s="8">
        <v>67770</v>
      </c>
      <c r="EH12" s="8">
        <v>71190</v>
      </c>
      <c r="EI12" s="8" t="e">
        <f>DI9</f>
        <v>#REF!</v>
      </c>
      <c r="EJ12" s="8" t="e">
        <f>DH9</f>
        <v>#REF!</v>
      </c>
      <c r="EK12" s="8" t="e">
        <f>DG9</f>
        <v>#REF!</v>
      </c>
      <c r="EL12" s="8" t="e">
        <f>DF9</f>
        <v>#REF!</v>
      </c>
      <c r="EM12" s="8" t="e">
        <f>DE9</f>
        <v>#REF!</v>
      </c>
      <c r="EN12" s="8" t="e">
        <f>DD9</f>
        <v>#REF!</v>
      </c>
      <c r="EU12" s="8" t="e">
        <f>SUM(#REF!)</f>
        <v>#REF!</v>
      </c>
      <c r="EV12" s="8" t="e">
        <f>SUM(#REF!)</f>
        <v>#REF!</v>
      </c>
      <c r="EW12" s="8" t="e">
        <f>SUM(#REF!)</f>
        <v>#REF!</v>
      </c>
      <c r="EX12" s="8" t="e">
        <f>SUM(#REF!)</f>
        <v>#REF!</v>
      </c>
      <c r="EY12" s="8" t="e">
        <f>SUM(#REF!)</f>
        <v>#REF!</v>
      </c>
      <c r="EZ12" s="8" t="e">
        <f>SUM(#REF!)</f>
        <v>#REF!</v>
      </c>
      <c r="FA12" s="8" t="e">
        <f>SUM(#REF!)</f>
        <v>#REF!</v>
      </c>
      <c r="FB12" s="8" t="e">
        <f>SUM(#REF!)</f>
        <v>#REF!</v>
      </c>
      <c r="FC12" s="11" t="s">
        <v>130</v>
      </c>
      <c r="FD12" s="8"/>
      <c r="FE12" s="11" t="s">
        <v>139</v>
      </c>
      <c r="FF12" s="8"/>
      <c r="FG12" s="8"/>
      <c r="FH12" s="8"/>
      <c r="FI12" s="8"/>
      <c r="FJ12" s="34" t="e">
        <f>SUM(#REF!)</f>
        <v>#REF!</v>
      </c>
      <c r="FK12" s="34" t="e">
        <f>SUM(#REF!)</f>
        <v>#REF!</v>
      </c>
      <c r="FL12" s="34" t="e">
        <f>SUM(#REF!)</f>
        <v>#REF!</v>
      </c>
      <c r="FM12" s="34" t="e">
        <f>SUM(#REF!)</f>
        <v>#REF!</v>
      </c>
      <c r="FN12" s="34" t="e">
        <f>SUM(#REF!)</f>
        <v>#REF!</v>
      </c>
      <c r="FO12" s="34" t="e">
        <f>SUM(#REF!)</f>
        <v>#REF!</v>
      </c>
      <c r="FP12" s="34" t="e">
        <f>SUM(#REF!)</f>
        <v>#REF!</v>
      </c>
      <c r="FQ12" s="34" t="e">
        <f>SUM(#REF!)</f>
        <v>#REF!</v>
      </c>
      <c r="FR12" s="8"/>
      <c r="FS12" s="5"/>
      <c r="FT12" s="5"/>
      <c r="FU12" s="5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5"/>
      <c r="GV12" s="5"/>
      <c r="GW12" s="5"/>
      <c r="GX12" s="5"/>
      <c r="GY12" s="5"/>
      <c r="GZ12" s="5"/>
      <c r="HA12" s="5"/>
      <c r="HB12" s="5"/>
      <c r="HC12" s="34" t="e">
        <f>#REF!</f>
        <v>#REF!</v>
      </c>
      <c r="HD12" s="34" t="e">
        <f>#REF!</f>
        <v>#REF!</v>
      </c>
      <c r="HE12" s="34" t="e">
        <f>#REF!</f>
        <v>#REF!</v>
      </c>
      <c r="HF12" s="34" t="e">
        <f>#REF!+#REF!+#REF!+HF15+#REF!+HF45+#REF!</f>
        <v>#REF!</v>
      </c>
      <c r="HG12" s="34" t="e">
        <f>#REF!</f>
        <v>#REF!</v>
      </c>
      <c r="HH12" s="34">
        <v>104900</v>
      </c>
      <c r="HI12" s="6" t="s">
        <v>64</v>
      </c>
      <c r="HJ12" s="8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249" ht="15" customHeight="1" x14ac:dyDescent="0.3">
      <c r="A13" s="55" t="s">
        <v>140</v>
      </c>
      <c r="B13" s="176">
        <v>14930</v>
      </c>
      <c r="C13" s="57"/>
      <c r="D13" s="58"/>
      <c r="E13" s="57"/>
      <c r="F13" s="59">
        <v>1321</v>
      </c>
      <c r="G13" s="60"/>
      <c r="H13" s="61"/>
      <c r="I13" s="59">
        <v>712</v>
      </c>
      <c r="J13" s="57"/>
      <c r="K13" s="62"/>
      <c r="L13" s="63" t="s">
        <v>141</v>
      </c>
      <c r="M13" s="64"/>
      <c r="N13" s="65"/>
      <c r="O13" s="56">
        <v>40910</v>
      </c>
      <c r="P13" s="58"/>
      <c r="Q13" s="57"/>
      <c r="R13" s="56">
        <v>42943</v>
      </c>
      <c r="S13" s="58"/>
      <c r="T13" s="57"/>
      <c r="U13" s="66">
        <v>57873</v>
      </c>
      <c r="V13" s="67"/>
      <c r="W13" s="68" t="s">
        <v>142</v>
      </c>
      <c r="X13" s="68"/>
      <c r="Y13" s="68"/>
      <c r="Z13" s="68"/>
      <c r="AA13" s="68"/>
      <c r="AB13" s="68"/>
      <c r="AC13" s="5"/>
      <c r="AD13" s="5"/>
      <c r="AE13" s="5"/>
      <c r="AF13" s="5"/>
      <c r="AG13" s="5"/>
      <c r="AH13" s="6" t="s">
        <v>125</v>
      </c>
      <c r="AI13" s="6" t="s">
        <v>123</v>
      </c>
      <c r="AJ13" s="6" t="s">
        <v>143</v>
      </c>
      <c r="AK13" s="5"/>
      <c r="AL13" s="5"/>
      <c r="AM13" s="5"/>
      <c r="AN13" s="8"/>
      <c r="AO13" s="8"/>
      <c r="AP13" s="5"/>
      <c r="AQ13" s="34" t="s">
        <v>123</v>
      </c>
      <c r="AR13" s="187"/>
      <c r="AS13" s="34"/>
      <c r="AT13" s="34"/>
      <c r="AU13" s="34"/>
      <c r="AV13" s="8"/>
      <c r="AW13" s="8"/>
      <c r="AX13" s="8"/>
      <c r="AY13" s="6"/>
      <c r="AZ13" s="5"/>
      <c r="BA13" s="5"/>
      <c r="BB13" s="5"/>
      <c r="BC13" s="6"/>
      <c r="BD13" s="8"/>
      <c r="BE13" s="8"/>
      <c r="BF13" s="8"/>
      <c r="BG13" s="34"/>
      <c r="BH13" s="8"/>
      <c r="BI13" s="34"/>
      <c r="BJ13" s="5"/>
      <c r="BK13" s="5"/>
      <c r="BL13" s="8"/>
      <c r="BM13" s="8"/>
      <c r="BN13" s="8"/>
      <c r="BO13" s="8"/>
      <c r="BP13" s="8"/>
      <c r="BQ13" s="8"/>
      <c r="BR13" s="8"/>
      <c r="BS13" s="8"/>
      <c r="BT13" s="11"/>
      <c r="BU13" s="8"/>
      <c r="BV13" s="11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11"/>
      <c r="CO13" s="8"/>
      <c r="CP13" s="8"/>
      <c r="CQ13" s="11"/>
      <c r="CR13" s="8"/>
      <c r="CS13" s="8"/>
      <c r="CT13" s="8"/>
      <c r="CU13" s="8"/>
      <c r="CV13" s="8"/>
      <c r="CW13" s="8"/>
      <c r="CX13" s="8"/>
      <c r="CY13" s="8"/>
      <c r="CZ13" s="8"/>
      <c r="DA13" s="5"/>
      <c r="DB13" s="5"/>
      <c r="DC13" s="12"/>
      <c r="DD13" s="12"/>
      <c r="DE13" s="8"/>
      <c r="DF13" s="8"/>
      <c r="DG13" s="8"/>
      <c r="DH13" s="8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11"/>
      <c r="DT13" s="18"/>
      <c r="DU13" s="5"/>
      <c r="DV13" s="5"/>
      <c r="DW13" s="18"/>
      <c r="DX13" s="18"/>
      <c r="DY13" s="19"/>
      <c r="DZ13" s="34"/>
      <c r="EA13" s="34"/>
      <c r="EB13" s="34"/>
      <c r="EC13" s="34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34"/>
      <c r="FK13" s="34"/>
      <c r="FL13" s="34"/>
      <c r="FM13" s="34"/>
      <c r="FN13" s="34"/>
      <c r="FO13" s="34"/>
      <c r="FP13" s="34"/>
      <c r="FQ13" s="34"/>
      <c r="FR13" s="8"/>
      <c r="FS13" s="5"/>
      <c r="FT13" s="5"/>
      <c r="FU13" s="5"/>
      <c r="FV13" s="8"/>
      <c r="FW13" s="8"/>
      <c r="FX13" s="8"/>
      <c r="FY13" s="8"/>
      <c r="FZ13" s="8"/>
      <c r="GA13" s="8"/>
      <c r="GB13" s="11"/>
      <c r="GC13" s="8"/>
      <c r="GD13" s="8"/>
      <c r="GE13" s="8"/>
      <c r="GF13" s="8"/>
      <c r="GG13" s="8"/>
      <c r="GH13" s="11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5"/>
      <c r="GV13" s="5"/>
      <c r="GW13" s="5"/>
      <c r="GX13" s="5"/>
      <c r="GY13" s="5"/>
      <c r="GZ13" s="5"/>
      <c r="HA13" s="5"/>
      <c r="HB13" s="5"/>
      <c r="HC13" s="34"/>
      <c r="HD13" s="34"/>
      <c r="HE13" s="34"/>
      <c r="HF13" s="34"/>
      <c r="HG13" s="34"/>
      <c r="HH13" s="34"/>
      <c r="HI13" s="8"/>
      <c r="HJ13" s="8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F13" s="183"/>
      <c r="IG13" s="5"/>
      <c r="IH13" s="5"/>
      <c r="II13" s="5"/>
      <c r="IJ13" s="5"/>
      <c r="IK13" s="5"/>
      <c r="IL13" s="5"/>
      <c r="IM13" s="5"/>
      <c r="IN13" s="5"/>
      <c r="IO13" s="5"/>
    </row>
    <row r="14" spans="1:249" ht="15" customHeight="1" x14ac:dyDescent="0.3">
      <c r="A14" s="55" t="s">
        <v>106</v>
      </c>
      <c r="B14" s="176">
        <v>16800</v>
      </c>
      <c r="C14" s="69">
        <f>F14+I14</f>
        <v>2881</v>
      </c>
      <c r="D14" s="70"/>
      <c r="E14" s="69"/>
      <c r="F14" s="59">
        <v>1848</v>
      </c>
      <c r="G14" s="60"/>
      <c r="H14" s="61"/>
      <c r="I14" s="59">
        <v>1033</v>
      </c>
      <c r="J14" s="57"/>
      <c r="K14" s="62"/>
      <c r="L14" s="63" t="s">
        <v>141</v>
      </c>
      <c r="M14" s="64"/>
      <c r="N14" s="65"/>
      <c r="O14" s="56">
        <v>44355</v>
      </c>
      <c r="P14" s="58"/>
      <c r="Q14" s="57"/>
      <c r="R14" s="56">
        <v>47236</v>
      </c>
      <c r="S14" s="58"/>
      <c r="T14" s="57"/>
      <c r="U14" s="66">
        <v>64036</v>
      </c>
      <c r="V14" s="67"/>
      <c r="W14" s="68" t="s">
        <v>45</v>
      </c>
      <c r="X14" s="68"/>
      <c r="Y14" s="68"/>
      <c r="Z14" s="68"/>
      <c r="AA14" s="68"/>
      <c r="AB14" s="68"/>
      <c r="AC14" s="5"/>
      <c r="AD14" s="6" t="s">
        <v>147</v>
      </c>
      <c r="AE14" s="8">
        <v>63092</v>
      </c>
      <c r="AF14" s="8">
        <v>47297</v>
      </c>
      <c r="AG14" s="8">
        <v>44815</v>
      </c>
      <c r="AH14" s="19" t="e">
        <f>#REF!</f>
        <v>#REF!</v>
      </c>
      <c r="AI14" s="11" t="s">
        <v>148</v>
      </c>
      <c r="AJ14" s="8">
        <v>1621</v>
      </c>
      <c r="AK14" s="5"/>
      <c r="AL14" s="8">
        <v>15795</v>
      </c>
      <c r="AM14" s="8"/>
      <c r="AN14" s="8"/>
      <c r="AO14" s="5"/>
      <c r="AP14" s="5"/>
      <c r="AQ14" s="8">
        <v>2470</v>
      </c>
      <c r="AR14" s="187"/>
      <c r="AS14" s="8"/>
      <c r="AT14" s="8"/>
      <c r="AU14" s="8"/>
      <c r="AV14" s="8"/>
      <c r="AW14" s="8"/>
      <c r="AX14" s="8"/>
      <c r="AY14" s="6"/>
      <c r="AZ14" s="6"/>
      <c r="BA14" s="5"/>
      <c r="BB14" s="5"/>
      <c r="BC14" s="6"/>
      <c r="BD14" s="8"/>
      <c r="BE14" s="8"/>
      <c r="BF14" s="8"/>
      <c r="BG14" s="8"/>
      <c r="BH14" s="8"/>
      <c r="BI14" s="8"/>
      <c r="BJ14" s="5"/>
      <c r="BK14" s="5"/>
      <c r="BL14" s="8"/>
      <c r="BM14" s="8"/>
      <c r="BN14" s="8"/>
      <c r="BO14" s="8"/>
      <c r="BP14" s="8"/>
      <c r="BQ14" s="8"/>
      <c r="BR14" s="8"/>
      <c r="BS14" s="8"/>
      <c r="BT14" s="11"/>
      <c r="BU14" s="8"/>
      <c r="BV14" s="11"/>
      <c r="BW14" s="8"/>
      <c r="BX14" s="8"/>
      <c r="BY14" s="8"/>
      <c r="BZ14" s="8"/>
      <c r="CA14" s="8"/>
      <c r="CB14" s="8"/>
      <c r="CC14" s="8"/>
      <c r="CD14" s="34"/>
      <c r="CE14" s="5"/>
      <c r="CF14" s="5"/>
      <c r="CG14" s="5"/>
      <c r="CH14" s="71"/>
      <c r="CI14" s="71"/>
      <c r="CJ14" s="71"/>
      <c r="CK14" s="71"/>
      <c r="CL14" s="71"/>
      <c r="CM14" s="71"/>
      <c r="CN14" s="72"/>
      <c r="CO14" s="71"/>
      <c r="CP14" s="71"/>
      <c r="CQ14" s="1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12"/>
      <c r="DD14" s="12"/>
      <c r="DE14" s="8"/>
      <c r="DF14" s="8"/>
      <c r="DG14" s="8"/>
      <c r="DH14" s="8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11"/>
      <c r="DT14" s="18"/>
      <c r="DU14" s="5"/>
      <c r="DV14" s="5"/>
      <c r="DW14" s="18"/>
      <c r="DX14" s="18"/>
      <c r="DY14" s="19"/>
      <c r="DZ14" s="34"/>
      <c r="EA14" s="34"/>
      <c r="EB14" s="34"/>
      <c r="EC14" s="34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34"/>
      <c r="FK14" s="34"/>
      <c r="FL14" s="34"/>
      <c r="FM14" s="34"/>
      <c r="FN14" s="34"/>
      <c r="FO14" s="34"/>
      <c r="FP14" s="34"/>
      <c r="FQ14" s="34"/>
      <c r="FR14" s="8"/>
      <c r="FS14" s="5"/>
      <c r="FT14" s="5"/>
      <c r="FU14" s="5"/>
      <c r="FV14" s="11"/>
      <c r="FW14" s="8"/>
      <c r="FX14" s="8"/>
      <c r="FY14" s="8"/>
      <c r="FZ14" s="8"/>
      <c r="GA14" s="8"/>
      <c r="GB14" s="11"/>
      <c r="GC14" s="8"/>
      <c r="GD14" s="8"/>
      <c r="GE14" s="8"/>
      <c r="GF14" s="8"/>
      <c r="GG14" s="8"/>
      <c r="GH14" s="11"/>
      <c r="GI14" s="8"/>
      <c r="GJ14" s="8"/>
      <c r="GK14" s="8"/>
      <c r="GL14" s="8"/>
      <c r="GM14" s="8"/>
      <c r="GN14" s="8"/>
      <c r="GO14" s="8"/>
      <c r="GP14" s="8"/>
      <c r="GQ14" s="8"/>
      <c r="GR14" s="11"/>
      <c r="GS14" s="5"/>
      <c r="GT14" s="11"/>
      <c r="GU14" s="73"/>
      <c r="GV14" s="5"/>
      <c r="GW14" s="5"/>
      <c r="GX14" s="5"/>
      <c r="GY14" s="5"/>
      <c r="GZ14" s="5"/>
      <c r="HA14" s="5"/>
      <c r="HB14" s="5"/>
      <c r="HC14" s="34"/>
      <c r="HD14" s="34"/>
      <c r="HE14" s="34"/>
      <c r="HF14" s="34"/>
      <c r="HG14" s="34"/>
      <c r="HH14" s="34"/>
      <c r="HI14" s="11"/>
      <c r="HJ14" s="8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F14" s="183"/>
      <c r="IG14" s="5"/>
      <c r="IH14" s="5"/>
      <c r="II14" s="5"/>
      <c r="IJ14" s="5"/>
      <c r="IK14" s="5"/>
      <c r="IL14" s="5"/>
      <c r="IM14" s="5"/>
      <c r="IN14" s="5"/>
      <c r="IO14" s="5"/>
    </row>
    <row r="15" spans="1:249" ht="15" customHeight="1" x14ac:dyDescent="0.3">
      <c r="A15" s="55" t="s">
        <v>111</v>
      </c>
      <c r="B15" s="176">
        <v>20810</v>
      </c>
      <c r="C15" s="69">
        <f>F15+I15</f>
        <v>8286</v>
      </c>
      <c r="D15" s="70"/>
      <c r="E15" s="69"/>
      <c r="F15" s="59">
        <v>3540</v>
      </c>
      <c r="G15" s="60"/>
      <c r="H15" s="61"/>
      <c r="I15" s="59">
        <v>4746</v>
      </c>
      <c r="J15" s="57"/>
      <c r="K15" s="62"/>
      <c r="L15" s="63" t="s">
        <v>141</v>
      </c>
      <c r="M15" s="64"/>
      <c r="N15" s="65"/>
      <c r="O15" s="56">
        <v>46960</v>
      </c>
      <c r="P15" s="58"/>
      <c r="Q15" s="57"/>
      <c r="R15" s="56">
        <f>SUM(F15:O15)</f>
        <v>55246</v>
      </c>
      <c r="S15" s="58"/>
      <c r="T15" s="57"/>
      <c r="U15" s="66">
        <f t="shared" ref="U15:U21" si="1">R15+B15</f>
        <v>76056</v>
      </c>
      <c r="V15" s="67"/>
      <c r="W15" s="68" t="s">
        <v>40</v>
      </c>
      <c r="X15" s="68"/>
      <c r="Y15" s="68">
        <f>46960+20810</f>
        <v>67770</v>
      </c>
      <c r="Z15" s="68" t="e">
        <f>+O27+#REF!</f>
        <v>#REF!</v>
      </c>
      <c r="AA15" s="68"/>
      <c r="AB15" s="68"/>
      <c r="AC15" s="6" t="s">
        <v>158</v>
      </c>
      <c r="AD15" s="6" t="s">
        <v>159</v>
      </c>
      <c r="AE15" s="8" t="e">
        <f>#REF!</f>
        <v>#REF!</v>
      </c>
      <c r="AF15" s="8" t="e">
        <f>#REF!</f>
        <v>#REF!</v>
      </c>
      <c r="AG15" s="8" t="e">
        <f>#REF!</f>
        <v>#REF!</v>
      </c>
      <c r="AH15" s="19" t="e">
        <f>#REF!</f>
        <v>#REF!</v>
      </c>
      <c r="AI15" s="8" t="e">
        <f>#REF!</f>
        <v>#REF!</v>
      </c>
      <c r="AJ15" s="8" t="e">
        <f>#REF!</f>
        <v>#REF!</v>
      </c>
      <c r="AK15" s="5"/>
      <c r="AL15" s="8">
        <v>19200</v>
      </c>
      <c r="AM15" s="5"/>
      <c r="AN15" s="5"/>
      <c r="AO15" s="5"/>
      <c r="AP15" s="5"/>
      <c r="AQ15" s="8">
        <v>3520</v>
      </c>
      <c r="AR15" s="187"/>
      <c r="AS15" s="8"/>
      <c r="AT15" s="8"/>
      <c r="AU15" s="8"/>
      <c r="AV15" s="8"/>
      <c r="AW15" s="8"/>
      <c r="AX15" s="8"/>
      <c r="AY15" s="6"/>
      <c r="AZ15" s="6"/>
      <c r="BA15" s="6"/>
      <c r="BB15" s="6"/>
      <c r="BC15" s="6"/>
      <c r="BD15" s="8"/>
      <c r="BE15" s="8"/>
      <c r="BF15" s="8"/>
      <c r="BG15" s="8"/>
      <c r="BH15" s="8"/>
      <c r="BI15" s="8"/>
      <c r="BJ15" s="5"/>
      <c r="BK15" s="5"/>
      <c r="CE15" s="5"/>
      <c r="CF15" s="5"/>
      <c r="CG15" s="5"/>
      <c r="CH15" s="72"/>
      <c r="CI15" s="71"/>
      <c r="CJ15" s="71"/>
      <c r="CK15" s="72"/>
      <c r="CL15" s="72"/>
      <c r="CM15" s="71"/>
      <c r="CN15" s="72"/>
      <c r="CO15" s="71"/>
      <c r="CP15" s="71"/>
      <c r="CQ15" s="11"/>
      <c r="CR15" s="71"/>
      <c r="CS15" s="71"/>
      <c r="CT15" s="71"/>
      <c r="CU15" s="71"/>
      <c r="CV15" s="72"/>
      <c r="CW15" s="72"/>
      <c r="CX15" s="71"/>
      <c r="CY15" s="71"/>
      <c r="CZ15" s="72"/>
      <c r="DA15" s="71"/>
      <c r="DB15" s="71"/>
      <c r="DC15" s="12"/>
      <c r="DD15" s="12"/>
      <c r="DE15" s="8"/>
      <c r="DF15" s="8"/>
      <c r="DG15" s="8"/>
      <c r="DH15" s="8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11"/>
      <c r="DT15" s="88"/>
      <c r="DU15" s="5"/>
      <c r="DV15" s="5"/>
      <c r="DW15" s="18"/>
      <c r="DX15" s="18"/>
      <c r="DY15" s="19"/>
      <c r="DZ15" s="34"/>
      <c r="EA15" s="34"/>
      <c r="EB15" s="34"/>
      <c r="EC15" s="34"/>
      <c r="ED15" s="34"/>
      <c r="EE15" s="34"/>
      <c r="EF15" s="34"/>
      <c r="EG15" s="34"/>
      <c r="EH15" s="34"/>
      <c r="EI15" s="8"/>
      <c r="EJ15" s="8"/>
      <c r="EK15" s="8"/>
      <c r="EL15" s="8"/>
      <c r="EM15" s="8"/>
      <c r="EN15" s="8"/>
      <c r="EU15" s="11"/>
      <c r="EV15" s="8"/>
      <c r="EW15" s="11"/>
      <c r="EX15" s="11"/>
      <c r="EY15" s="8"/>
      <c r="EZ15" s="8"/>
      <c r="FA15" s="8"/>
      <c r="FB15" s="8"/>
      <c r="FC15" s="11"/>
      <c r="FD15" s="8"/>
      <c r="FE15" s="11"/>
      <c r="FF15" s="8"/>
      <c r="FG15" s="8"/>
      <c r="FH15" s="8"/>
      <c r="FI15" s="8"/>
      <c r="FJ15" s="34"/>
      <c r="FK15" s="34"/>
      <c r="FL15" s="34"/>
      <c r="FM15" s="34"/>
      <c r="FN15" s="34"/>
      <c r="FO15" s="34"/>
      <c r="FP15" s="34"/>
      <c r="FQ15" s="34"/>
      <c r="FR15" s="8"/>
      <c r="FS15" s="5"/>
      <c r="FT15" s="5"/>
      <c r="FU15" s="5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5"/>
      <c r="GU15" s="5"/>
      <c r="GV15" s="5"/>
      <c r="GW15" s="5"/>
      <c r="GX15" s="5"/>
      <c r="GY15" s="5"/>
      <c r="GZ15" s="5"/>
      <c r="HA15" s="5"/>
      <c r="HB15" s="5"/>
      <c r="HC15" s="34"/>
      <c r="HD15" s="34"/>
      <c r="HE15" s="34"/>
      <c r="HF15" s="34"/>
      <c r="HG15" s="34"/>
      <c r="HH15" s="34"/>
      <c r="HI15" s="11"/>
      <c r="HJ15" s="8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F15" s="183"/>
      <c r="IG15" s="5"/>
      <c r="IH15" s="5"/>
      <c r="II15" s="5"/>
      <c r="IJ15" s="5"/>
      <c r="IK15" s="5"/>
      <c r="IL15" s="5"/>
      <c r="IM15" s="5"/>
      <c r="IN15" s="5"/>
      <c r="IO15" s="5"/>
    </row>
    <row r="16" spans="1:249" ht="15" customHeight="1" x14ac:dyDescent="0.3">
      <c r="A16" s="55" t="s">
        <v>12</v>
      </c>
      <c r="B16" s="176">
        <v>22440</v>
      </c>
      <c r="C16" s="69">
        <f>F18+I18</f>
        <v>13988</v>
      </c>
      <c r="D16" s="70"/>
      <c r="E16" s="69"/>
      <c r="F16" s="59">
        <v>4269</v>
      </c>
      <c r="G16" s="60"/>
      <c r="H16" s="61"/>
      <c r="I16" s="59">
        <v>5289</v>
      </c>
      <c r="J16" s="57"/>
      <c r="K16" s="62"/>
      <c r="L16" s="63" t="s">
        <v>141</v>
      </c>
      <c r="M16" s="64"/>
      <c r="N16" s="65"/>
      <c r="O16" s="56">
        <v>48750</v>
      </c>
      <c r="P16" s="58"/>
      <c r="Q16" s="57"/>
      <c r="R16" s="56">
        <f>SUM(F16:O16)</f>
        <v>58308</v>
      </c>
      <c r="S16" s="58"/>
      <c r="T16" s="57"/>
      <c r="U16" s="66">
        <f t="shared" si="1"/>
        <v>80748</v>
      </c>
      <c r="V16" s="67"/>
      <c r="W16" s="68" t="s">
        <v>7</v>
      </c>
      <c r="X16" s="68"/>
      <c r="Y16" s="68">
        <f t="shared" ref="Y16:Y26" si="2">+U16-U15</f>
        <v>4692</v>
      </c>
      <c r="Z16" s="68" t="e">
        <f>+Z15-46960</f>
        <v>#REF!</v>
      </c>
      <c r="AA16" s="74"/>
      <c r="AB16" s="74"/>
      <c r="AC16" s="73">
        <f t="shared" ref="AC16:AC22" si="3">U15/$U$15*100</f>
        <v>100</v>
      </c>
      <c r="AD16" s="6" t="s">
        <v>111</v>
      </c>
      <c r="AE16" s="8">
        <f t="shared" ref="AE16:AE23" si="4">U15</f>
        <v>76056</v>
      </c>
      <c r="AF16" s="8">
        <f t="shared" ref="AF16:AF23" si="5">R15</f>
        <v>55246</v>
      </c>
      <c r="AG16" s="8">
        <f t="shared" ref="AG16:AG23" si="6">O15</f>
        <v>46960</v>
      </c>
      <c r="AH16" s="19" t="str">
        <f t="shared" ref="AH16:AH23" si="7">L15</f>
        <v>..</v>
      </c>
      <c r="AI16" s="8">
        <f>I15</f>
        <v>4746</v>
      </c>
      <c r="AJ16" s="8">
        <f>F15</f>
        <v>3540</v>
      </c>
      <c r="AK16" s="5"/>
      <c r="AL16" s="8">
        <v>20810</v>
      </c>
      <c r="AM16" s="5"/>
      <c r="AN16" s="5"/>
      <c r="AO16" s="5"/>
      <c r="AP16" s="5"/>
      <c r="AQ16" s="8">
        <v>3720</v>
      </c>
      <c r="AR16" s="187"/>
      <c r="AS16" s="8"/>
      <c r="AT16" s="8"/>
      <c r="AU16" s="8"/>
      <c r="AV16" s="8"/>
      <c r="AW16" s="8"/>
      <c r="AX16" s="8"/>
      <c r="AY16" s="6"/>
      <c r="AZ16" s="93"/>
      <c r="BA16" s="71"/>
      <c r="BB16" s="71"/>
      <c r="BC16" s="6"/>
      <c r="BD16" s="8"/>
      <c r="BE16" s="8"/>
      <c r="BF16" s="8"/>
      <c r="BG16" s="8"/>
      <c r="BH16" s="8"/>
      <c r="BI16" s="8"/>
      <c r="BJ16" s="5"/>
      <c r="BK16" s="5"/>
      <c r="BL16" s="8"/>
      <c r="BM16" s="8"/>
      <c r="BN16" s="8"/>
      <c r="BO16" s="11"/>
      <c r="BP16" s="8"/>
      <c r="BQ16" s="8"/>
      <c r="BR16" s="8"/>
      <c r="BS16" s="8"/>
      <c r="BT16" s="8"/>
      <c r="BU16" s="8"/>
      <c r="BV16" s="8"/>
      <c r="BW16" s="8"/>
      <c r="BX16" s="8"/>
      <c r="BY16" s="11"/>
      <c r="BZ16" s="8"/>
      <c r="CA16" s="8"/>
      <c r="CB16" s="8"/>
      <c r="CC16" s="8"/>
      <c r="CD16" s="8"/>
      <c r="CE16" s="5"/>
      <c r="CF16" s="5"/>
      <c r="CG16" s="5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12"/>
      <c r="DD16" s="12"/>
      <c r="DE16" s="8"/>
      <c r="DF16" s="8"/>
      <c r="DG16" s="8"/>
      <c r="DH16" s="8"/>
      <c r="DI16" s="34"/>
      <c r="DJ16" s="18"/>
      <c r="DK16" s="18"/>
      <c r="DL16" s="18"/>
      <c r="DM16" s="18"/>
      <c r="DN16" s="18"/>
      <c r="DO16" s="18"/>
      <c r="DP16" s="18"/>
      <c r="DQ16" s="18"/>
      <c r="DR16" s="18"/>
      <c r="DS16" s="8"/>
      <c r="DT16" s="88"/>
      <c r="DU16" s="5"/>
      <c r="DV16" s="5"/>
      <c r="DW16" s="18"/>
      <c r="DX16" s="18"/>
      <c r="DY16" s="19"/>
      <c r="DZ16" s="34"/>
      <c r="EA16" s="34"/>
      <c r="EB16" s="34"/>
      <c r="EC16" s="34"/>
      <c r="ED16" s="34"/>
      <c r="EE16" s="34"/>
      <c r="EF16" s="34"/>
      <c r="EG16" s="34"/>
      <c r="EH16" s="34"/>
      <c r="EI16" s="8"/>
      <c r="EJ16" s="8"/>
      <c r="EK16" s="8"/>
      <c r="EL16" s="8"/>
      <c r="EM16" s="8"/>
      <c r="EN16" s="8"/>
      <c r="EU16" s="11"/>
      <c r="EV16" s="8"/>
      <c r="EW16" s="8"/>
      <c r="EX16" s="11"/>
      <c r="EY16" s="8"/>
      <c r="EZ16" s="11"/>
      <c r="FA16" s="8"/>
      <c r="FB16" s="8"/>
      <c r="FC16" s="11"/>
      <c r="FD16" s="8"/>
      <c r="FE16" s="11"/>
      <c r="FF16" s="8"/>
      <c r="FG16" s="8"/>
      <c r="FH16" s="8"/>
      <c r="FI16" s="8"/>
      <c r="FJ16" s="34"/>
      <c r="FK16" s="34"/>
      <c r="FL16" s="34"/>
      <c r="FM16" s="34"/>
      <c r="FN16" s="34"/>
      <c r="FO16" s="34"/>
      <c r="FP16" s="34"/>
      <c r="FQ16" s="34"/>
      <c r="FR16" s="8"/>
      <c r="FS16" s="5"/>
      <c r="FT16" s="5"/>
      <c r="FU16" s="5"/>
      <c r="FV16" s="11"/>
      <c r="FW16" s="8"/>
      <c r="FX16" s="8"/>
      <c r="FY16" s="8"/>
      <c r="FZ16" s="8"/>
      <c r="GA16" s="8"/>
      <c r="GB16" s="11"/>
      <c r="GC16" s="8"/>
      <c r="GD16" s="8"/>
      <c r="GE16" s="8"/>
      <c r="GF16" s="8"/>
      <c r="GG16" s="8"/>
      <c r="GH16" s="11"/>
      <c r="GI16" s="8"/>
      <c r="GJ16" s="8"/>
      <c r="GK16" s="8"/>
      <c r="GL16" s="8"/>
      <c r="GM16" s="8"/>
      <c r="GN16" s="8"/>
      <c r="GO16" s="8"/>
      <c r="GP16" s="8"/>
      <c r="GQ16" s="8"/>
      <c r="GR16" s="11"/>
      <c r="GS16" s="5"/>
      <c r="GU16" s="5"/>
      <c r="GV16" s="5"/>
      <c r="GW16" s="5"/>
      <c r="GX16" s="5"/>
      <c r="GY16" s="5"/>
      <c r="GZ16" s="5"/>
      <c r="HA16" s="5"/>
      <c r="HB16" s="5"/>
      <c r="HC16" s="34"/>
      <c r="HD16" s="34"/>
      <c r="HE16" s="34"/>
      <c r="HF16" s="34"/>
      <c r="HG16" s="34"/>
      <c r="HH16" s="34"/>
      <c r="HI16" s="8"/>
      <c r="HJ16" s="8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F16" s="183"/>
      <c r="IG16" s="5"/>
      <c r="IH16" s="5"/>
      <c r="II16" s="5"/>
      <c r="IJ16" s="5"/>
      <c r="IK16" s="5"/>
      <c r="IL16" s="5"/>
      <c r="IM16" s="5"/>
      <c r="IN16" s="5"/>
      <c r="IO16" s="5"/>
    </row>
    <row r="17" spans="1:249" ht="15" customHeight="1" x14ac:dyDescent="0.3">
      <c r="A17" s="75" t="s">
        <v>170</v>
      </c>
      <c r="B17" s="176">
        <v>24690</v>
      </c>
      <c r="C17" s="69">
        <f>F28+I19</f>
        <v>55247</v>
      </c>
      <c r="D17" s="70"/>
      <c r="E17" s="69"/>
      <c r="F17" s="59">
        <v>5129</v>
      </c>
      <c r="G17" s="60"/>
      <c r="H17" s="61"/>
      <c r="I17" s="59">
        <v>7182</v>
      </c>
      <c r="J17" s="57"/>
      <c r="K17" s="62"/>
      <c r="L17" s="63" t="s">
        <v>141</v>
      </c>
      <c r="M17" s="64"/>
      <c r="N17" s="65"/>
      <c r="O17" s="56">
        <v>53950</v>
      </c>
      <c r="P17" s="58"/>
      <c r="Q17" s="57"/>
      <c r="R17" s="56">
        <f>SUM(F17:O17)</f>
        <v>66261</v>
      </c>
      <c r="S17" s="58"/>
      <c r="T17" s="57"/>
      <c r="U17" s="66">
        <f t="shared" si="1"/>
        <v>90951</v>
      </c>
      <c r="V17" s="67"/>
      <c r="W17" s="76" t="s">
        <v>39</v>
      </c>
      <c r="X17" s="76"/>
      <c r="Y17" s="68">
        <f t="shared" si="2"/>
        <v>10203</v>
      </c>
      <c r="Z17" s="77" t="e">
        <f>+Z16/46960</f>
        <v>#REF!</v>
      </c>
      <c r="AA17" s="74"/>
      <c r="AB17" s="74"/>
      <c r="AC17" s="73">
        <f t="shared" si="3"/>
        <v>106.16913852950458</v>
      </c>
      <c r="AD17" s="6" t="s">
        <v>12</v>
      </c>
      <c r="AE17" s="8">
        <f t="shared" si="4"/>
        <v>80748</v>
      </c>
      <c r="AF17" s="8">
        <f t="shared" si="5"/>
        <v>58308</v>
      </c>
      <c r="AG17" s="8">
        <f t="shared" si="6"/>
        <v>48750</v>
      </c>
      <c r="AH17" s="19" t="str">
        <f t="shared" si="7"/>
        <v>..</v>
      </c>
      <c r="AI17" s="8">
        <f t="shared" ref="AI17:AI23" si="8">I18</f>
        <v>7438</v>
      </c>
      <c r="AJ17" s="8">
        <f>F18</f>
        <v>6550</v>
      </c>
      <c r="AK17" s="5"/>
      <c r="AL17" s="8">
        <v>22440</v>
      </c>
      <c r="AM17" s="5"/>
      <c r="AN17" s="5"/>
      <c r="AO17" s="5"/>
      <c r="AP17" s="5"/>
      <c r="AQ17" s="8">
        <v>3995</v>
      </c>
      <c r="AR17" s="187"/>
      <c r="AS17" s="8"/>
      <c r="AT17" s="8"/>
      <c r="AU17" s="8"/>
      <c r="AV17" s="8"/>
      <c r="AW17" s="8"/>
      <c r="AX17" s="8"/>
      <c r="AY17" s="6"/>
      <c r="AZ17" s="93"/>
      <c r="BA17" s="71"/>
      <c r="BB17" s="71"/>
      <c r="BC17" s="6"/>
      <c r="BD17" s="8"/>
      <c r="BE17" s="8"/>
      <c r="BF17" s="8"/>
      <c r="BG17" s="8"/>
      <c r="BH17" s="8"/>
      <c r="BI17" s="8"/>
      <c r="BJ17" s="5"/>
      <c r="BK17" s="5"/>
      <c r="BL17" s="8"/>
      <c r="BM17" s="8"/>
      <c r="BN17" s="8"/>
      <c r="BO17" s="11"/>
      <c r="BP17" s="8"/>
      <c r="BQ17" s="8"/>
      <c r="BR17" s="8"/>
      <c r="BS17" s="8"/>
      <c r="BT17" s="8"/>
      <c r="BU17" s="8"/>
      <c r="BV17" s="8"/>
      <c r="BW17" s="8"/>
      <c r="BX17" s="8"/>
      <c r="BY17" s="11"/>
      <c r="BZ17" s="8"/>
      <c r="CA17" s="8"/>
      <c r="CB17" s="8"/>
      <c r="CC17" s="8"/>
      <c r="CD17" s="8"/>
      <c r="CE17" s="5"/>
      <c r="CF17" s="5"/>
      <c r="CG17" s="5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12"/>
      <c r="DD17" s="12"/>
      <c r="DE17" s="8"/>
      <c r="DF17" s="8"/>
      <c r="DG17" s="8"/>
      <c r="DH17" s="8"/>
      <c r="DI17" s="34"/>
      <c r="DJ17" s="18"/>
      <c r="DK17" s="18"/>
      <c r="DL17" s="18"/>
      <c r="DM17" s="18"/>
      <c r="DN17" s="18"/>
      <c r="DO17" s="18"/>
      <c r="DP17" s="18"/>
      <c r="DQ17" s="18"/>
      <c r="DR17" s="18"/>
      <c r="DS17" s="8"/>
      <c r="DT17" s="94"/>
      <c r="DU17" s="5"/>
      <c r="DV17" s="5"/>
      <c r="DW17" s="18"/>
      <c r="DX17" s="18"/>
      <c r="DY17" s="19"/>
      <c r="DZ17" s="34"/>
      <c r="EA17" s="34"/>
      <c r="EB17" s="34"/>
      <c r="EC17" s="34"/>
      <c r="ED17" s="34"/>
      <c r="EE17" s="34"/>
      <c r="EF17" s="34"/>
      <c r="EG17" s="34"/>
      <c r="EH17" s="34"/>
      <c r="EI17" s="8"/>
      <c r="EJ17" s="8"/>
      <c r="EK17" s="8"/>
      <c r="EL17" s="8"/>
      <c r="EM17" s="8"/>
      <c r="EN17" s="8"/>
      <c r="EU17" s="11"/>
      <c r="EV17" s="8"/>
      <c r="EW17" s="8"/>
      <c r="EX17" s="11"/>
      <c r="EY17" s="8"/>
      <c r="EZ17" s="11"/>
      <c r="FA17" s="8"/>
      <c r="FB17" s="8"/>
      <c r="FC17" s="11"/>
      <c r="FD17" s="8"/>
      <c r="FE17" s="11"/>
      <c r="FF17" s="8"/>
      <c r="FG17" s="8"/>
      <c r="FH17" s="8"/>
      <c r="FI17" s="8"/>
      <c r="FJ17" s="34"/>
      <c r="FK17" s="34"/>
      <c r="FL17" s="34"/>
      <c r="FM17" s="34"/>
      <c r="FN17" s="34"/>
      <c r="FO17" s="34"/>
      <c r="FP17" s="34"/>
      <c r="FQ17" s="34"/>
      <c r="FR17" s="8"/>
      <c r="FS17" s="5"/>
      <c r="FT17" s="5"/>
      <c r="FU17" s="5"/>
      <c r="FV17" s="11"/>
      <c r="FW17" s="8"/>
      <c r="FX17" s="8"/>
      <c r="FY17" s="8"/>
      <c r="FZ17" s="8"/>
      <c r="GA17" s="8"/>
      <c r="GB17" s="11"/>
      <c r="GC17" s="8"/>
      <c r="GD17" s="8"/>
      <c r="GE17" s="8"/>
      <c r="GF17" s="8"/>
      <c r="GG17" s="8"/>
      <c r="GH17" s="11"/>
      <c r="GI17" s="8"/>
      <c r="GJ17" s="8"/>
      <c r="GK17" s="8"/>
      <c r="GL17" s="8"/>
      <c r="GM17" s="8"/>
      <c r="GN17" s="8"/>
      <c r="GO17" s="8"/>
      <c r="GP17" s="8"/>
      <c r="GQ17" s="8"/>
      <c r="GR17" s="11"/>
      <c r="GS17" s="5"/>
      <c r="GU17" s="5"/>
      <c r="GV17" s="5"/>
      <c r="GW17" s="5"/>
      <c r="GX17" s="5"/>
      <c r="GY17" s="5"/>
      <c r="GZ17" s="5"/>
      <c r="HA17" s="5"/>
      <c r="HB17" s="5"/>
      <c r="HC17" s="34"/>
      <c r="HD17" s="34"/>
      <c r="HE17" s="34"/>
      <c r="HF17" s="34"/>
      <c r="HG17" s="34"/>
      <c r="HH17" s="34"/>
      <c r="HI17" s="8"/>
      <c r="HJ17" s="8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F17" s="183"/>
      <c r="IG17" s="5"/>
      <c r="IH17" s="5"/>
      <c r="II17" s="5"/>
      <c r="IJ17" s="5"/>
      <c r="IK17" s="5"/>
      <c r="IL17" s="5"/>
      <c r="IM17" s="5"/>
      <c r="IN17" s="5"/>
      <c r="IO17" s="5"/>
    </row>
    <row r="18" spans="1:249" ht="15" customHeight="1" x14ac:dyDescent="0.3">
      <c r="A18" s="66" t="s">
        <v>113</v>
      </c>
      <c r="B18" s="176">
        <f>20330+4930+1100</f>
        <v>26360</v>
      </c>
      <c r="C18" s="69">
        <f>F27+I20</f>
        <v>52498</v>
      </c>
      <c r="D18" s="70"/>
      <c r="E18" s="69"/>
      <c r="F18" s="59">
        <v>6550</v>
      </c>
      <c r="G18" s="60"/>
      <c r="H18" s="61"/>
      <c r="I18" s="59">
        <v>7438</v>
      </c>
      <c r="J18" s="57"/>
      <c r="K18" s="62"/>
      <c r="L18" s="56">
        <v>2245</v>
      </c>
      <c r="M18" s="58"/>
      <c r="N18" s="57"/>
      <c r="O18" s="56">
        <f>58630-2245+601+211</f>
        <v>57197</v>
      </c>
      <c r="P18" s="58"/>
      <c r="Q18" s="57"/>
      <c r="R18" s="56">
        <f>SUM(F18:O18)</f>
        <v>73430</v>
      </c>
      <c r="S18" s="58"/>
      <c r="T18" s="57"/>
      <c r="U18" s="66">
        <f t="shared" si="1"/>
        <v>99790</v>
      </c>
      <c r="V18" s="67"/>
      <c r="W18" s="68" t="s">
        <v>161</v>
      </c>
      <c r="X18" s="78">
        <f t="shared" ref="X18:X28" si="9">+O18+L18</f>
        <v>59442</v>
      </c>
      <c r="Y18" s="68">
        <f t="shared" si="2"/>
        <v>8839</v>
      </c>
      <c r="Z18" s="79"/>
      <c r="AA18" s="74"/>
      <c r="AB18" s="74">
        <f>+AB19/U15</f>
        <v>1.1846402650678447</v>
      </c>
      <c r="AC18" s="73">
        <f t="shared" si="3"/>
        <v>119.58425370779426</v>
      </c>
      <c r="AD18" s="19" t="s">
        <v>170</v>
      </c>
      <c r="AE18" s="8">
        <f t="shared" si="4"/>
        <v>90951</v>
      </c>
      <c r="AF18" s="8">
        <f t="shared" si="5"/>
        <v>66261</v>
      </c>
      <c r="AG18" s="8">
        <f t="shared" si="6"/>
        <v>53950</v>
      </c>
      <c r="AH18" s="19" t="str">
        <f t="shared" si="7"/>
        <v>..</v>
      </c>
      <c r="AI18" s="8">
        <f t="shared" si="8"/>
        <v>8201</v>
      </c>
      <c r="AJ18" s="8">
        <f>F28</f>
        <v>47046</v>
      </c>
      <c r="AK18" s="8"/>
      <c r="AL18" s="8">
        <f t="shared" ref="AL18:AL23" si="10">B17</f>
        <v>24690</v>
      </c>
      <c r="AM18" s="5"/>
      <c r="AN18" s="5"/>
      <c r="AO18" s="5"/>
      <c r="AP18" s="5"/>
      <c r="AQ18" s="8">
        <v>3895</v>
      </c>
      <c r="AR18" s="187"/>
      <c r="AS18" s="8"/>
      <c r="AT18" s="8"/>
      <c r="AU18" s="8"/>
      <c r="AV18" s="8"/>
      <c r="AW18" s="8"/>
      <c r="AX18" s="8"/>
      <c r="AY18" s="6"/>
      <c r="AZ18" s="93"/>
      <c r="BA18" s="71"/>
      <c r="BB18" s="71"/>
      <c r="BC18" s="6"/>
      <c r="BD18" s="8"/>
      <c r="BE18" s="8"/>
      <c r="BF18" s="8"/>
      <c r="BG18" s="8"/>
      <c r="BH18" s="8"/>
      <c r="BI18" s="8"/>
      <c r="BJ18" s="5"/>
      <c r="BK18" s="5"/>
      <c r="BL18" s="8"/>
      <c r="BM18" s="8"/>
      <c r="BN18" s="8"/>
      <c r="BO18" s="11"/>
      <c r="BP18" s="8"/>
      <c r="BQ18" s="8"/>
      <c r="BR18" s="8"/>
      <c r="BS18" s="8"/>
      <c r="BT18" s="8"/>
      <c r="BU18" s="8"/>
      <c r="BV18" s="8"/>
      <c r="BW18" s="8"/>
      <c r="BX18" s="8"/>
      <c r="BY18" s="11"/>
      <c r="BZ18" s="8"/>
      <c r="CA18" s="8"/>
      <c r="CB18" s="8"/>
      <c r="CC18" s="8"/>
      <c r="CD18" s="8"/>
      <c r="CE18" s="5"/>
      <c r="CF18" s="5"/>
      <c r="CG18" s="5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12"/>
      <c r="DD18" s="12"/>
      <c r="DE18" s="8"/>
      <c r="DF18" s="8"/>
      <c r="DG18" s="8"/>
      <c r="DH18" s="8"/>
      <c r="DI18" s="34"/>
      <c r="DJ18" s="18"/>
      <c r="DK18" s="18"/>
      <c r="DL18" s="18"/>
      <c r="DM18" s="18"/>
      <c r="DN18" s="18"/>
      <c r="DO18" s="18"/>
      <c r="DP18" s="18"/>
      <c r="DQ18" s="18"/>
      <c r="DR18" s="18"/>
      <c r="DS18" s="8"/>
      <c r="DT18" s="94"/>
      <c r="DU18" s="5"/>
      <c r="DV18" s="5"/>
      <c r="DW18" s="18"/>
      <c r="DX18" s="18"/>
      <c r="DY18" s="19"/>
      <c r="DZ18" s="34"/>
      <c r="EA18" s="34"/>
      <c r="EB18" s="34"/>
      <c r="EC18" s="34"/>
      <c r="ED18" s="34"/>
      <c r="EE18" s="34"/>
      <c r="EF18" s="34"/>
      <c r="EG18" s="34"/>
      <c r="EH18" s="34"/>
      <c r="EI18" s="8"/>
      <c r="EJ18" s="8"/>
      <c r="EK18" s="8"/>
      <c r="EL18" s="8"/>
      <c r="EM18" s="8"/>
      <c r="EN18" s="8"/>
      <c r="EU18" s="11"/>
      <c r="EV18" s="8"/>
      <c r="EW18" s="8"/>
      <c r="EX18" s="11"/>
      <c r="EY18" s="8"/>
      <c r="EZ18" s="11"/>
      <c r="FA18" s="8"/>
      <c r="FB18" s="8"/>
      <c r="FC18" s="11"/>
      <c r="FD18" s="8"/>
      <c r="FE18" s="11"/>
      <c r="FF18" s="8"/>
      <c r="FG18" s="8"/>
      <c r="FH18" s="8"/>
      <c r="FI18" s="8"/>
      <c r="FJ18" s="34"/>
      <c r="FK18" s="34"/>
      <c r="FL18" s="34"/>
      <c r="FM18" s="34"/>
      <c r="FN18" s="34"/>
      <c r="FO18" s="34"/>
      <c r="FP18" s="34"/>
      <c r="FQ18" s="34"/>
      <c r="FR18" s="8"/>
      <c r="FS18" s="5"/>
      <c r="FT18" s="5"/>
      <c r="FU18" s="5"/>
      <c r="FV18" s="11"/>
      <c r="FW18" s="8"/>
      <c r="FX18" s="8"/>
      <c r="FY18" s="8"/>
      <c r="FZ18" s="8"/>
      <c r="GA18" s="8"/>
      <c r="GB18" s="11"/>
      <c r="GC18" s="8"/>
      <c r="GD18" s="8"/>
      <c r="GE18" s="8"/>
      <c r="GF18" s="8"/>
      <c r="GG18" s="8"/>
      <c r="GH18" s="11"/>
      <c r="GI18" s="8"/>
      <c r="GJ18" s="8"/>
      <c r="GK18" s="8"/>
      <c r="GL18" s="8"/>
      <c r="GM18" s="8"/>
      <c r="GN18" s="8"/>
      <c r="GO18" s="8"/>
      <c r="GP18" s="8"/>
      <c r="GQ18" s="8"/>
      <c r="GR18" s="11"/>
      <c r="GS18" s="5"/>
      <c r="GU18" s="5"/>
      <c r="GV18" s="5"/>
      <c r="GW18" s="5"/>
      <c r="GX18" s="5"/>
      <c r="GY18" s="5"/>
      <c r="GZ18" s="5"/>
      <c r="HA18" s="5"/>
      <c r="HB18" s="5"/>
      <c r="HC18" s="34"/>
      <c r="HD18" s="34"/>
      <c r="HE18" s="34"/>
      <c r="HF18" s="34"/>
      <c r="HG18" s="34"/>
      <c r="HH18" s="34"/>
      <c r="HI18" s="8"/>
      <c r="HJ18" s="8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F18" s="183"/>
      <c r="IG18" s="5"/>
      <c r="IH18" s="5"/>
      <c r="II18" s="5"/>
      <c r="IJ18" s="5"/>
      <c r="IK18" s="5"/>
      <c r="IL18" s="5"/>
      <c r="IM18" s="5"/>
      <c r="IN18" s="5"/>
      <c r="IO18" s="5"/>
    </row>
    <row r="19" spans="1:249" ht="15" customHeight="1" x14ac:dyDescent="0.3">
      <c r="A19" s="66" t="s">
        <v>114</v>
      </c>
      <c r="B19" s="176">
        <v>28300</v>
      </c>
      <c r="C19" s="69">
        <f>F26+I21</f>
        <v>47863</v>
      </c>
      <c r="D19" s="70"/>
      <c r="F19" s="80">
        <v>8647</v>
      </c>
      <c r="G19" s="60"/>
      <c r="H19" s="61"/>
      <c r="I19" s="59">
        <v>8201</v>
      </c>
      <c r="J19" s="57"/>
      <c r="K19" s="62"/>
      <c r="L19" s="56">
        <v>3229</v>
      </c>
      <c r="M19" s="58"/>
      <c r="N19" s="57"/>
      <c r="O19" s="56">
        <v>59951</v>
      </c>
      <c r="P19" s="58"/>
      <c r="Q19" s="57"/>
      <c r="R19" s="56">
        <f>SUM(E19:O19)</f>
        <v>80028</v>
      </c>
      <c r="S19" s="58"/>
      <c r="T19" s="57"/>
      <c r="U19" s="66">
        <f t="shared" si="1"/>
        <v>108328</v>
      </c>
      <c r="V19" s="67"/>
      <c r="W19" s="68" t="s">
        <v>37</v>
      </c>
      <c r="X19" s="78">
        <f t="shared" si="9"/>
        <v>63180</v>
      </c>
      <c r="Y19" s="68">
        <f t="shared" si="2"/>
        <v>8538</v>
      </c>
      <c r="Z19" s="79"/>
      <c r="AB19" s="81">
        <f>+U25-U15</f>
        <v>90099</v>
      </c>
      <c r="AC19" s="73">
        <f t="shared" si="3"/>
        <v>131.2059535079415</v>
      </c>
      <c r="AD19" s="11" t="s">
        <v>113</v>
      </c>
      <c r="AE19" s="8">
        <f t="shared" si="4"/>
        <v>99790</v>
      </c>
      <c r="AF19" s="8">
        <f t="shared" si="5"/>
        <v>73430</v>
      </c>
      <c r="AG19" s="8">
        <f t="shared" si="6"/>
        <v>57197</v>
      </c>
      <c r="AH19" s="34">
        <f t="shared" si="7"/>
        <v>2245</v>
      </c>
      <c r="AI19" s="8">
        <f t="shared" si="8"/>
        <v>10127</v>
      </c>
      <c r="AJ19" s="8">
        <f>F27</f>
        <v>42371</v>
      </c>
      <c r="AK19" s="8"/>
      <c r="AL19" s="8">
        <f t="shared" si="10"/>
        <v>26360</v>
      </c>
      <c r="AM19" s="5"/>
      <c r="AN19" s="5"/>
      <c r="AO19" s="5"/>
      <c r="AP19" s="5"/>
      <c r="AQ19" s="8">
        <v>3800</v>
      </c>
      <c r="AR19" s="187"/>
      <c r="AS19" s="8"/>
      <c r="AT19" s="8"/>
      <c r="AU19" s="8"/>
      <c r="AV19" s="8"/>
      <c r="AW19" s="8"/>
      <c r="AX19" s="8"/>
      <c r="AY19" s="6"/>
      <c r="AZ19" s="93"/>
      <c r="BA19" s="71"/>
      <c r="BB19" s="71"/>
      <c r="BC19" s="6"/>
      <c r="BD19" s="8"/>
      <c r="BE19" s="8"/>
      <c r="BF19" s="8"/>
      <c r="BG19" s="8"/>
      <c r="BH19" s="8"/>
      <c r="BI19" s="8"/>
      <c r="BJ19" s="5"/>
      <c r="BK19" s="5"/>
      <c r="BL19" s="8"/>
      <c r="BM19" s="8"/>
      <c r="BN19" s="8"/>
      <c r="BO19" s="11"/>
      <c r="BP19" s="8"/>
      <c r="BQ19" s="8"/>
      <c r="BR19" s="8"/>
      <c r="BS19" s="8"/>
      <c r="BT19" s="8"/>
      <c r="BU19" s="8"/>
      <c r="BV19" s="8"/>
      <c r="BW19" s="8"/>
      <c r="BX19" s="8"/>
      <c r="BY19" s="11"/>
      <c r="BZ19" s="8"/>
      <c r="CA19" s="8"/>
      <c r="CB19" s="8"/>
      <c r="CC19" s="8"/>
      <c r="CD19" s="8"/>
      <c r="CE19" s="5"/>
      <c r="CF19" s="5"/>
      <c r="CG19" s="5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12"/>
      <c r="DD19" s="12"/>
      <c r="DE19" s="8"/>
      <c r="DF19" s="8"/>
      <c r="DG19" s="8"/>
      <c r="DH19" s="8"/>
      <c r="DI19" s="34"/>
      <c r="DJ19" s="18"/>
      <c r="DK19" s="18"/>
      <c r="DL19" s="18"/>
      <c r="DM19" s="18"/>
      <c r="DN19" s="18"/>
      <c r="DO19" s="18"/>
      <c r="DP19" s="18"/>
      <c r="DQ19" s="18"/>
      <c r="DR19" s="18"/>
      <c r="DS19" s="8"/>
      <c r="DT19" s="94"/>
      <c r="DU19" s="5"/>
      <c r="DV19" s="5"/>
      <c r="DW19" s="18"/>
      <c r="DX19" s="18"/>
      <c r="DY19" s="19"/>
      <c r="DZ19" s="34"/>
      <c r="EA19" s="34"/>
      <c r="EB19" s="34"/>
      <c r="EC19" s="34"/>
      <c r="ED19" s="34"/>
      <c r="EE19" s="34"/>
      <c r="EF19" s="34"/>
      <c r="EG19" s="34"/>
      <c r="EH19" s="34"/>
      <c r="EI19" s="8"/>
      <c r="EJ19" s="8"/>
      <c r="EK19" s="8"/>
      <c r="EL19" s="8"/>
      <c r="EM19" s="8"/>
      <c r="EN19" s="8"/>
      <c r="EU19" s="11"/>
      <c r="EV19" s="8"/>
      <c r="EW19" s="8"/>
      <c r="EX19" s="11"/>
      <c r="EY19" s="8"/>
      <c r="EZ19" s="11"/>
      <c r="FA19" s="8"/>
      <c r="FB19" s="8"/>
      <c r="FC19" s="11"/>
      <c r="FD19" s="8"/>
      <c r="FE19" s="11"/>
      <c r="FF19" s="8"/>
      <c r="FG19" s="8"/>
      <c r="FH19" s="8"/>
      <c r="FI19" s="8"/>
      <c r="FJ19" s="34"/>
      <c r="FK19" s="34"/>
      <c r="FL19" s="34"/>
      <c r="FM19" s="34"/>
      <c r="FN19" s="34"/>
      <c r="FO19" s="34"/>
      <c r="FP19" s="34"/>
      <c r="FQ19" s="34"/>
      <c r="FR19" s="8"/>
      <c r="FS19" s="5"/>
      <c r="FT19" s="5"/>
      <c r="FU19" s="5"/>
      <c r="FV19" s="11"/>
      <c r="FW19" s="8"/>
      <c r="FX19" s="8"/>
      <c r="FY19" s="8"/>
      <c r="FZ19" s="8"/>
      <c r="GA19" s="8"/>
      <c r="GB19" s="11"/>
      <c r="GC19" s="8"/>
      <c r="GD19" s="8"/>
      <c r="GE19" s="8"/>
      <c r="GF19" s="8"/>
      <c r="GG19" s="8"/>
      <c r="GH19" s="11"/>
      <c r="GI19" s="8"/>
      <c r="GJ19" s="8"/>
      <c r="GK19" s="8"/>
      <c r="GL19" s="8"/>
      <c r="GM19" s="8"/>
      <c r="GN19" s="8"/>
      <c r="GO19" s="8"/>
      <c r="GP19" s="8"/>
      <c r="GQ19" s="8"/>
      <c r="GR19" s="11"/>
      <c r="GS19" s="5"/>
      <c r="GU19" s="5"/>
      <c r="GV19" s="5"/>
      <c r="GW19" s="5"/>
      <c r="GX19" s="5"/>
      <c r="GY19" s="5"/>
      <c r="GZ19" s="5"/>
      <c r="HA19" s="5"/>
      <c r="HB19" s="5"/>
      <c r="HC19" s="34"/>
      <c r="HD19" s="34"/>
      <c r="HE19" s="34"/>
      <c r="HF19" s="34"/>
      <c r="HG19" s="34"/>
      <c r="HH19" s="34"/>
      <c r="HI19" s="8"/>
      <c r="HJ19" s="8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F19" s="183"/>
      <c r="IG19" s="5"/>
      <c r="IH19" s="5"/>
      <c r="II19" s="5"/>
      <c r="IJ19" s="5"/>
      <c r="IK19" s="5"/>
      <c r="IL19" s="5"/>
      <c r="IM19" s="5"/>
      <c r="IN19" s="5"/>
      <c r="IO19" s="5"/>
    </row>
    <row r="20" spans="1:249" ht="15" customHeight="1" x14ac:dyDescent="0.3">
      <c r="A20" s="66" t="s">
        <v>115</v>
      </c>
      <c r="B20" s="176">
        <v>30500</v>
      </c>
      <c r="C20" s="69">
        <f>F25+I22</f>
        <v>46335</v>
      </c>
      <c r="D20" s="70"/>
      <c r="F20" s="80">
        <v>9440</v>
      </c>
      <c r="G20" s="60"/>
      <c r="H20" s="61"/>
      <c r="I20" s="59">
        <v>10127</v>
      </c>
      <c r="J20" s="57"/>
      <c r="K20" s="62"/>
      <c r="L20" s="56">
        <v>3890</v>
      </c>
      <c r="M20" s="58"/>
      <c r="N20" s="57"/>
      <c r="O20" s="56">
        <v>62860</v>
      </c>
      <c r="P20" s="58"/>
      <c r="Q20" s="57"/>
      <c r="R20" s="56">
        <f>SUM(E20:O20)</f>
        <v>86317</v>
      </c>
      <c r="S20" s="58"/>
      <c r="T20" s="57"/>
      <c r="U20" s="66">
        <f t="shared" si="1"/>
        <v>116817</v>
      </c>
      <c r="V20" s="67"/>
      <c r="W20" s="68" t="s">
        <v>36</v>
      </c>
      <c r="X20" s="78">
        <f t="shared" si="9"/>
        <v>66750</v>
      </c>
      <c r="Y20" s="68">
        <f t="shared" si="2"/>
        <v>8489</v>
      </c>
      <c r="Z20" s="79">
        <f t="shared" ref="Z20:Z28" si="11">+(R20-R19)/R19</f>
        <v>7.8584995251661918E-2</v>
      </c>
      <c r="AA20" s="79">
        <f t="shared" ref="AA20:AA28" si="12">+(U20-U19)/U19</f>
        <v>7.8363857913004945E-2</v>
      </c>
      <c r="AB20" s="81">
        <f>+L20+I22+F25</f>
        <v>50225</v>
      </c>
      <c r="AC20" s="73">
        <f t="shared" si="3"/>
        <v>142.43189228989166</v>
      </c>
      <c r="AD20" s="11" t="s">
        <v>114</v>
      </c>
      <c r="AE20" s="8">
        <f t="shared" si="4"/>
        <v>108328</v>
      </c>
      <c r="AF20" s="8">
        <f t="shared" si="5"/>
        <v>80028</v>
      </c>
      <c r="AG20" s="8">
        <f t="shared" si="6"/>
        <v>59951</v>
      </c>
      <c r="AH20" s="34">
        <f t="shared" si="7"/>
        <v>3229</v>
      </c>
      <c r="AI20" s="8">
        <f t="shared" si="8"/>
        <v>10538</v>
      </c>
      <c r="AJ20" s="8">
        <f>F26</f>
        <v>37325</v>
      </c>
      <c r="AK20" s="8"/>
      <c r="AL20" s="8">
        <f t="shared" si="10"/>
        <v>28300</v>
      </c>
      <c r="AM20" s="5"/>
      <c r="AN20" s="5"/>
      <c r="AO20" s="5"/>
      <c r="AP20" s="5"/>
      <c r="AQ20" s="8">
        <v>3660</v>
      </c>
      <c r="AR20" s="187"/>
      <c r="AS20" s="115"/>
      <c r="AT20" s="115"/>
      <c r="AU20" s="115"/>
      <c r="AV20" s="115"/>
      <c r="AW20" s="115"/>
      <c r="AX20" s="115"/>
      <c r="AY20" s="118"/>
      <c r="AZ20" s="119"/>
      <c r="BA20" s="120"/>
      <c r="BB20" s="120"/>
      <c r="BC20" s="118"/>
      <c r="BD20" s="115"/>
      <c r="BE20" s="115"/>
      <c r="BF20" s="115"/>
      <c r="BG20" s="115"/>
      <c r="BH20" s="115"/>
      <c r="BI20" s="115"/>
      <c r="BJ20" s="117"/>
      <c r="BK20" s="117"/>
      <c r="BL20" s="115"/>
      <c r="BM20" s="115"/>
      <c r="BN20" s="115"/>
      <c r="BO20" s="121"/>
      <c r="BP20" s="115"/>
      <c r="BQ20" s="115"/>
      <c r="BR20" s="115"/>
      <c r="BS20" s="115"/>
      <c r="BT20" s="115"/>
      <c r="BU20" s="115"/>
      <c r="BV20" s="115"/>
      <c r="BW20" s="115"/>
      <c r="BX20" s="115"/>
      <c r="BY20" s="121"/>
      <c r="BZ20" s="115"/>
      <c r="CA20" s="115"/>
      <c r="CB20" s="115"/>
      <c r="CC20" s="115"/>
      <c r="CD20" s="115"/>
      <c r="CE20" s="117"/>
      <c r="CF20" s="117"/>
      <c r="CG20" s="117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2"/>
      <c r="DD20" s="122"/>
      <c r="DE20" s="115"/>
      <c r="DF20" s="115"/>
      <c r="DG20" s="115"/>
      <c r="DH20" s="115"/>
      <c r="DI20" s="116"/>
      <c r="DJ20" s="123"/>
      <c r="DK20" s="123"/>
      <c r="DL20" s="123"/>
      <c r="DM20" s="123"/>
      <c r="DN20" s="123"/>
      <c r="DO20" s="123"/>
      <c r="DP20" s="123"/>
      <c r="DQ20" s="123"/>
      <c r="DR20" s="123"/>
      <c r="DS20" s="115"/>
      <c r="DT20" s="123"/>
      <c r="DU20" s="117"/>
      <c r="DV20" s="117"/>
      <c r="DW20" s="123"/>
      <c r="DX20" s="123"/>
      <c r="DY20" s="124"/>
      <c r="DZ20" s="116"/>
      <c r="EA20" s="116"/>
      <c r="EB20" s="116"/>
      <c r="EC20" s="116"/>
      <c r="ED20" s="116"/>
      <c r="EE20" s="116"/>
      <c r="EF20" s="116"/>
      <c r="EG20" s="116"/>
      <c r="EH20" s="116"/>
      <c r="EI20" s="115"/>
      <c r="EJ20" s="115"/>
      <c r="EK20" s="115"/>
      <c r="EL20" s="115"/>
      <c r="EM20" s="115"/>
      <c r="EN20" s="115"/>
      <c r="EO20" s="52"/>
      <c r="EP20" s="52"/>
      <c r="EQ20" s="52"/>
      <c r="ER20" s="52"/>
      <c r="ES20" s="52"/>
      <c r="ET20" s="52"/>
      <c r="EU20" s="121"/>
      <c r="EV20" s="115"/>
      <c r="EW20" s="115"/>
      <c r="EX20" s="121"/>
      <c r="EY20" s="115"/>
      <c r="EZ20" s="121"/>
      <c r="FA20" s="115"/>
      <c r="FB20" s="115"/>
      <c r="FC20" s="121"/>
      <c r="FD20" s="115"/>
      <c r="FE20" s="121"/>
      <c r="FF20" s="115"/>
      <c r="FG20" s="115"/>
      <c r="FH20" s="115"/>
      <c r="FI20" s="115"/>
      <c r="FJ20" s="116"/>
      <c r="FK20" s="116"/>
      <c r="FL20" s="116"/>
      <c r="FM20" s="116"/>
      <c r="FN20" s="116"/>
      <c r="FO20" s="116"/>
      <c r="FP20" s="116"/>
      <c r="FQ20" s="116"/>
      <c r="FR20" s="115"/>
      <c r="FS20" s="117"/>
      <c r="FT20" s="117"/>
      <c r="FU20" s="117"/>
      <c r="FV20" s="121"/>
      <c r="FW20" s="115"/>
      <c r="FX20" s="115"/>
      <c r="FY20" s="115"/>
      <c r="FZ20" s="115"/>
      <c r="GA20" s="115"/>
      <c r="GB20" s="121"/>
      <c r="GC20" s="115"/>
      <c r="GD20" s="115"/>
      <c r="GE20" s="115"/>
      <c r="GF20" s="115"/>
      <c r="GG20" s="115"/>
      <c r="GH20" s="121"/>
      <c r="GI20" s="115"/>
      <c r="GJ20" s="115"/>
      <c r="GK20" s="115"/>
      <c r="GL20" s="115"/>
      <c r="GM20" s="115"/>
      <c r="GN20" s="115"/>
      <c r="GO20" s="115"/>
      <c r="GP20" s="115"/>
      <c r="GQ20" s="115"/>
      <c r="GR20" s="121"/>
      <c r="GS20" s="117"/>
      <c r="GT20" s="52"/>
      <c r="GU20" s="117"/>
      <c r="GV20" s="117"/>
      <c r="GW20" s="117"/>
      <c r="GX20" s="117"/>
      <c r="GY20" s="117"/>
      <c r="GZ20" s="117"/>
      <c r="HA20" s="117"/>
      <c r="HB20" s="117"/>
      <c r="HC20" s="116"/>
      <c r="HD20" s="116"/>
      <c r="HE20" s="116"/>
      <c r="HF20" s="116"/>
      <c r="HG20" s="116"/>
      <c r="HH20" s="116"/>
      <c r="HI20" s="115"/>
      <c r="HJ20" s="115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F20" s="183"/>
      <c r="IG20" s="5"/>
      <c r="IH20" s="5"/>
      <c r="II20" s="5"/>
      <c r="IJ20" s="5"/>
      <c r="IK20" s="5"/>
      <c r="IL20" s="5"/>
      <c r="IM20" s="5"/>
      <c r="IN20" s="5"/>
      <c r="IO20" s="5"/>
    </row>
    <row r="21" spans="1:249" ht="15" customHeight="1" x14ac:dyDescent="0.3">
      <c r="A21" s="55" t="s">
        <v>116</v>
      </c>
      <c r="B21" s="176">
        <v>32750</v>
      </c>
      <c r="C21" s="69">
        <f>F24+I23</f>
        <v>46439</v>
      </c>
      <c r="D21" s="70"/>
      <c r="F21" s="80">
        <v>13041</v>
      </c>
      <c r="G21" s="60"/>
      <c r="H21" s="61"/>
      <c r="I21" s="59">
        <v>10538</v>
      </c>
      <c r="J21" s="57"/>
      <c r="K21" s="62"/>
      <c r="L21" s="56">
        <v>5387</v>
      </c>
      <c r="M21" s="58"/>
      <c r="N21" s="57"/>
      <c r="O21" s="56">
        <v>63563</v>
      </c>
      <c r="P21" s="58"/>
      <c r="Q21" s="57"/>
      <c r="R21" s="56">
        <f>SUM(E21:O21)</f>
        <v>92529</v>
      </c>
      <c r="S21" s="58"/>
      <c r="T21" s="57"/>
      <c r="U21" s="66">
        <f t="shared" si="1"/>
        <v>125279</v>
      </c>
      <c r="V21" s="67"/>
      <c r="W21" s="76" t="s">
        <v>35</v>
      </c>
      <c r="X21" s="78">
        <f t="shared" si="9"/>
        <v>68950</v>
      </c>
      <c r="Y21" s="68">
        <f t="shared" si="2"/>
        <v>8462</v>
      </c>
      <c r="Z21" s="79">
        <f t="shared" si="11"/>
        <v>7.196728338565983E-2</v>
      </c>
      <c r="AA21" s="79">
        <f t="shared" si="12"/>
        <v>7.2438086922280154E-2</v>
      </c>
      <c r="AB21" s="79"/>
      <c r="AC21" s="73">
        <f t="shared" si="3"/>
        <v>153.59340485957716</v>
      </c>
      <c r="AD21" s="11" t="s">
        <v>115</v>
      </c>
      <c r="AE21" s="8">
        <f t="shared" si="4"/>
        <v>116817</v>
      </c>
      <c r="AF21" s="8">
        <f t="shared" si="5"/>
        <v>86317</v>
      </c>
      <c r="AG21" s="8">
        <f t="shared" si="6"/>
        <v>62860</v>
      </c>
      <c r="AH21" s="34">
        <f t="shared" si="7"/>
        <v>3890</v>
      </c>
      <c r="AI21" s="8">
        <f t="shared" si="8"/>
        <v>12966</v>
      </c>
      <c r="AJ21" s="8">
        <f>F25</f>
        <v>33369</v>
      </c>
      <c r="AK21" s="8"/>
      <c r="AL21" s="8">
        <f t="shared" si="10"/>
        <v>30500</v>
      </c>
      <c r="AM21" s="8"/>
      <c r="AN21" s="5"/>
      <c r="AO21" s="5"/>
      <c r="AP21" s="5"/>
      <c r="AQ21" s="8">
        <v>3710</v>
      </c>
      <c r="AR21" s="187"/>
      <c r="AS21" s="8"/>
      <c r="AT21" s="8"/>
      <c r="AU21" s="8"/>
      <c r="AV21" s="8"/>
      <c r="AW21" s="8"/>
      <c r="AX21" s="8"/>
      <c r="AY21" s="6"/>
      <c r="AZ21" s="93"/>
      <c r="BA21" s="71"/>
      <c r="BB21" s="71"/>
      <c r="BC21" s="6"/>
      <c r="BD21" s="8"/>
      <c r="BE21" s="8"/>
      <c r="BF21" s="8"/>
      <c r="BG21" s="8"/>
      <c r="BH21" s="8"/>
      <c r="BI21" s="8"/>
      <c r="BJ21" s="5"/>
      <c r="BK21" s="5"/>
      <c r="BL21" s="8"/>
      <c r="BM21" s="8"/>
      <c r="BN21" s="8"/>
      <c r="BO21" s="11"/>
      <c r="BP21" s="8"/>
      <c r="BQ21" s="8"/>
      <c r="BR21" s="8"/>
      <c r="BS21" s="8"/>
      <c r="BT21" s="8"/>
      <c r="BU21" s="8"/>
      <c r="BV21" s="8"/>
      <c r="BW21" s="8"/>
      <c r="BX21" s="8"/>
      <c r="BY21" s="11"/>
      <c r="BZ21" s="8"/>
      <c r="CA21" s="8"/>
      <c r="CB21" s="8"/>
      <c r="CC21" s="8"/>
      <c r="CD21" s="8"/>
      <c r="CE21" s="5"/>
      <c r="CF21" s="5"/>
      <c r="CG21" s="5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12"/>
      <c r="DD21" s="12"/>
      <c r="DE21" s="8"/>
      <c r="DF21" s="8"/>
      <c r="DG21" s="8"/>
      <c r="DH21" s="8"/>
      <c r="DI21" s="34"/>
      <c r="DJ21" s="18"/>
      <c r="DK21" s="18"/>
      <c r="DL21" s="18"/>
      <c r="DM21" s="18"/>
      <c r="DN21" s="18"/>
      <c r="DO21" s="18"/>
      <c r="DP21" s="18"/>
      <c r="DQ21" s="18"/>
      <c r="DR21" s="18"/>
      <c r="DS21" s="8"/>
      <c r="DT21" s="18"/>
      <c r="DU21" s="5"/>
      <c r="DV21" s="5"/>
      <c r="DW21" s="18"/>
      <c r="DX21" s="18"/>
      <c r="DY21" s="19"/>
      <c r="DZ21" s="34"/>
      <c r="EA21" s="34"/>
      <c r="EB21" s="34"/>
      <c r="EC21" s="34"/>
      <c r="ED21" s="34"/>
      <c r="EE21" s="34"/>
      <c r="EF21" s="34"/>
      <c r="EG21" s="34"/>
      <c r="EH21" s="34"/>
      <c r="EI21" s="8"/>
      <c r="EJ21" s="8"/>
      <c r="EK21" s="8"/>
      <c r="EL21" s="8"/>
      <c r="EM21" s="8"/>
      <c r="EN21" s="8"/>
      <c r="EU21" s="11"/>
      <c r="EV21" s="8"/>
      <c r="EW21" s="8"/>
      <c r="EX21" s="11"/>
      <c r="EY21" s="8"/>
      <c r="EZ21" s="11"/>
      <c r="FA21" s="8"/>
      <c r="FB21" s="8"/>
      <c r="FC21" s="11"/>
      <c r="FD21" s="8"/>
      <c r="FE21" s="11"/>
      <c r="FF21" s="8"/>
      <c r="FG21" s="8"/>
      <c r="FH21" s="8"/>
      <c r="FI21" s="8"/>
      <c r="FJ21" s="34"/>
      <c r="FK21" s="34"/>
      <c r="FL21" s="34"/>
      <c r="FM21" s="34"/>
      <c r="FN21" s="34"/>
      <c r="FO21" s="34"/>
      <c r="FP21" s="34"/>
      <c r="FQ21" s="34"/>
      <c r="FR21" s="8"/>
      <c r="FS21" s="5"/>
      <c r="FT21" s="5"/>
      <c r="FU21" s="5"/>
      <c r="FV21" s="11"/>
      <c r="FW21" s="8"/>
      <c r="FX21" s="8"/>
      <c r="FY21" s="8"/>
      <c r="FZ21" s="8"/>
      <c r="GA21" s="8"/>
      <c r="GB21" s="11"/>
      <c r="GC21" s="8"/>
      <c r="GD21" s="8"/>
      <c r="GE21" s="8"/>
      <c r="GF21" s="8"/>
      <c r="GG21" s="8"/>
      <c r="GH21" s="11"/>
      <c r="GI21" s="8"/>
      <c r="GJ21" s="8"/>
      <c r="GK21" s="8"/>
      <c r="GL21" s="8"/>
      <c r="GM21" s="8"/>
      <c r="GN21" s="8"/>
      <c r="GO21" s="8"/>
      <c r="GP21" s="8"/>
      <c r="GQ21" s="8"/>
      <c r="GR21" s="11"/>
      <c r="GS21" s="5"/>
      <c r="GU21" s="5"/>
      <c r="GV21" s="5"/>
      <c r="GW21" s="5"/>
      <c r="GX21" s="5"/>
      <c r="GY21" s="5"/>
      <c r="GZ21" s="5"/>
      <c r="HA21" s="5"/>
      <c r="HB21" s="5"/>
      <c r="HC21" s="34"/>
      <c r="HD21" s="34"/>
      <c r="HE21" s="34"/>
      <c r="HF21" s="34"/>
      <c r="HG21" s="34"/>
      <c r="HH21" s="34"/>
      <c r="HI21" s="8"/>
      <c r="HJ21" s="8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F21" s="183"/>
      <c r="IG21" s="5"/>
      <c r="IH21" s="5"/>
      <c r="II21" s="5"/>
      <c r="IJ21" s="5"/>
      <c r="IK21" s="5"/>
      <c r="IL21" s="5"/>
      <c r="IM21" s="5"/>
      <c r="IN21" s="5"/>
      <c r="IO21" s="5"/>
    </row>
    <row r="22" spans="1:249" ht="15" customHeight="1" x14ac:dyDescent="0.3">
      <c r="A22" s="83" t="s">
        <v>117</v>
      </c>
      <c r="B22" s="176">
        <v>34600</v>
      </c>
      <c r="C22" s="69">
        <f>F23+I24</f>
        <v>41501</v>
      </c>
      <c r="D22" s="70"/>
      <c r="F22" s="80">
        <v>18020</v>
      </c>
      <c r="G22" s="60"/>
      <c r="H22" s="61"/>
      <c r="I22" s="59">
        <v>12966</v>
      </c>
      <c r="J22" s="57"/>
      <c r="K22" s="62"/>
      <c r="L22" s="84">
        <v>6110</v>
      </c>
      <c r="M22" s="85"/>
      <c r="N22" s="86"/>
      <c r="O22" s="56">
        <f>70300-L22</f>
        <v>64190</v>
      </c>
      <c r="P22" s="58"/>
      <c r="Q22" s="57"/>
      <c r="R22" s="56">
        <v>101286</v>
      </c>
      <c r="S22" s="58"/>
      <c r="T22" s="57"/>
      <c r="U22" s="66">
        <v>135886</v>
      </c>
      <c r="V22" s="67"/>
      <c r="W22" s="87" t="s">
        <v>17</v>
      </c>
      <c r="X22" s="78">
        <f t="shared" si="9"/>
        <v>70300</v>
      </c>
      <c r="Y22" s="68">
        <f t="shared" si="2"/>
        <v>10607</v>
      </c>
      <c r="Z22" s="79">
        <f t="shared" si="11"/>
        <v>9.4640599163505493E-2</v>
      </c>
      <c r="AA22" s="79">
        <f t="shared" si="12"/>
        <v>8.4667023204208214E-2</v>
      </c>
      <c r="AB22" s="79"/>
      <c r="AC22" s="73">
        <f t="shared" si="3"/>
        <v>164.71941727148416</v>
      </c>
      <c r="AD22" s="6" t="s">
        <v>116</v>
      </c>
      <c r="AE22" s="8">
        <f t="shared" si="4"/>
        <v>125279</v>
      </c>
      <c r="AF22" s="8">
        <f t="shared" si="5"/>
        <v>92529</v>
      </c>
      <c r="AG22" s="8">
        <f t="shared" si="6"/>
        <v>63563</v>
      </c>
      <c r="AH22" s="34">
        <f t="shared" si="7"/>
        <v>5387</v>
      </c>
      <c r="AI22" s="8">
        <f t="shared" si="8"/>
        <v>18073</v>
      </c>
      <c r="AJ22" s="8">
        <f>F24</f>
        <v>28366</v>
      </c>
      <c r="AK22" s="8"/>
      <c r="AL22" s="8">
        <f t="shared" si="10"/>
        <v>32750</v>
      </c>
      <c r="AM22" s="5"/>
      <c r="AN22" s="5"/>
      <c r="AO22" s="5"/>
      <c r="AP22" s="5"/>
      <c r="AQ22" s="8"/>
      <c r="AR22" s="187"/>
      <c r="AS22" s="8"/>
      <c r="AT22" s="8"/>
      <c r="AU22" s="8"/>
      <c r="AV22" s="8"/>
      <c r="AW22" s="8"/>
      <c r="AX22" s="8"/>
      <c r="AY22" s="6"/>
      <c r="AZ22" s="93"/>
      <c r="BA22" s="71"/>
      <c r="BB22" s="71"/>
      <c r="BC22" s="6"/>
      <c r="BD22" s="8"/>
      <c r="BE22" s="8"/>
      <c r="BF22" s="8"/>
      <c r="BG22" s="8"/>
      <c r="BH22" s="8"/>
      <c r="BI22" s="8"/>
      <c r="BJ22" s="5"/>
      <c r="BK22" s="5"/>
      <c r="BL22" s="8"/>
      <c r="BM22" s="8"/>
      <c r="BN22" s="8"/>
      <c r="BO22" s="11"/>
      <c r="BP22" s="8"/>
      <c r="BQ22" s="8"/>
      <c r="BR22" s="8"/>
      <c r="BS22" s="8"/>
      <c r="BT22" s="8"/>
      <c r="BU22" s="8"/>
      <c r="BV22" s="8"/>
      <c r="BW22" s="8"/>
      <c r="BX22" s="8"/>
      <c r="BY22" s="11"/>
      <c r="BZ22" s="8"/>
      <c r="CA22" s="8"/>
      <c r="CB22" s="8"/>
      <c r="CC22" s="8"/>
      <c r="CD22" s="8"/>
      <c r="CE22" s="5"/>
      <c r="CF22" s="5"/>
      <c r="CG22" s="5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12"/>
      <c r="DD22" s="12"/>
      <c r="DE22" s="8"/>
      <c r="DF22" s="8"/>
      <c r="DG22" s="8"/>
      <c r="DH22" s="8"/>
      <c r="DI22" s="34"/>
      <c r="DJ22" s="18"/>
      <c r="DK22" s="18"/>
      <c r="DL22" s="18"/>
      <c r="DM22" s="18"/>
      <c r="DN22" s="18"/>
      <c r="DO22" s="18"/>
      <c r="DP22" s="18"/>
      <c r="DQ22" s="18"/>
      <c r="DR22" s="18"/>
      <c r="DS22" s="8"/>
      <c r="DT22" s="18"/>
      <c r="DU22" s="5"/>
      <c r="DV22" s="5"/>
      <c r="DW22" s="18"/>
      <c r="DX22" s="18"/>
      <c r="DY22" s="19"/>
      <c r="DZ22" s="34"/>
      <c r="EA22" s="34"/>
      <c r="EB22" s="34"/>
      <c r="EC22" s="34"/>
      <c r="ED22" s="34"/>
      <c r="EE22" s="34"/>
      <c r="EF22" s="34"/>
      <c r="EG22" s="34"/>
      <c r="EH22" s="34"/>
      <c r="EI22" s="8"/>
      <c r="EJ22" s="8"/>
      <c r="EK22" s="8"/>
      <c r="EL22" s="8"/>
      <c r="EM22" s="8"/>
      <c r="EN22" s="8"/>
      <c r="EU22" s="11"/>
      <c r="EV22" s="8"/>
      <c r="EW22" s="8"/>
      <c r="EX22" s="11"/>
      <c r="EY22" s="8"/>
      <c r="EZ22" s="11"/>
      <c r="FA22" s="8"/>
      <c r="FB22" s="8"/>
      <c r="FC22" s="11"/>
      <c r="FD22" s="8"/>
      <c r="FE22" s="11"/>
      <c r="FF22" s="8"/>
      <c r="FG22" s="8"/>
      <c r="FH22" s="8"/>
      <c r="FI22" s="8"/>
      <c r="FJ22" s="34"/>
      <c r="FK22" s="34"/>
      <c r="FL22" s="34"/>
      <c r="FM22" s="34"/>
      <c r="FN22" s="34"/>
      <c r="FO22" s="34"/>
      <c r="FP22" s="34"/>
      <c r="FQ22" s="34"/>
      <c r="FR22" s="8"/>
      <c r="FS22" s="5"/>
      <c r="FT22" s="5"/>
      <c r="FU22" s="5"/>
      <c r="FV22" s="11"/>
      <c r="FW22" s="8"/>
      <c r="FX22" s="8"/>
      <c r="FY22" s="8"/>
      <c r="FZ22" s="8"/>
      <c r="GA22" s="8"/>
      <c r="GB22" s="11"/>
      <c r="GC22" s="8"/>
      <c r="GD22" s="8"/>
      <c r="GE22" s="8"/>
      <c r="GF22" s="8"/>
      <c r="GG22" s="8"/>
      <c r="GH22" s="11"/>
      <c r="GI22" s="8"/>
      <c r="GJ22" s="8"/>
      <c r="GK22" s="8"/>
      <c r="GL22" s="8"/>
      <c r="GM22" s="8"/>
      <c r="GN22" s="8"/>
      <c r="GO22" s="8"/>
      <c r="GP22" s="8"/>
      <c r="GQ22" s="8"/>
      <c r="GR22" s="11"/>
      <c r="GS22" s="5"/>
      <c r="GU22" s="5"/>
      <c r="GV22" s="5"/>
      <c r="GW22" s="5"/>
      <c r="GX22" s="5"/>
      <c r="GY22" s="5"/>
      <c r="GZ22" s="5"/>
      <c r="HA22" s="5"/>
      <c r="HB22" s="5"/>
      <c r="HC22" s="34"/>
      <c r="HD22" s="34"/>
      <c r="HE22" s="34"/>
      <c r="HF22" s="34"/>
      <c r="HG22" s="34"/>
      <c r="HH22" s="34"/>
      <c r="HI22" s="8"/>
      <c r="HJ22" s="8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F22" s="183"/>
      <c r="IG22" s="5"/>
      <c r="IH22" s="5"/>
      <c r="II22" s="5"/>
      <c r="IJ22" s="5"/>
      <c r="IK22" s="5"/>
      <c r="IL22" s="5"/>
      <c r="IM22" s="5"/>
      <c r="IN22" s="5"/>
      <c r="IO22" s="5"/>
    </row>
    <row r="23" spans="1:249" ht="15" customHeight="1" x14ac:dyDescent="0.3">
      <c r="A23" s="83" t="s">
        <v>191</v>
      </c>
      <c r="B23" s="176">
        <f>29070+6070+1450</f>
        <v>36590</v>
      </c>
      <c r="C23" s="69">
        <f>F22+I25</f>
        <v>37337</v>
      </c>
      <c r="D23" s="70"/>
      <c r="F23" s="59">
        <v>23350</v>
      </c>
      <c r="G23" s="89"/>
      <c r="H23" s="90"/>
      <c r="I23" s="59">
        <v>18073</v>
      </c>
      <c r="J23" s="86"/>
      <c r="K23" s="91"/>
      <c r="L23" s="84">
        <v>6970</v>
      </c>
      <c r="M23" s="85"/>
      <c r="N23" s="86"/>
      <c r="O23" s="56">
        <f>72540-L23</f>
        <v>65570</v>
      </c>
      <c r="P23" s="58"/>
      <c r="Q23" s="57"/>
      <c r="R23" s="56">
        <f t="shared" ref="R23:R28" si="13">SUM(E23:O23)</f>
        <v>113963</v>
      </c>
      <c r="S23" s="58"/>
      <c r="T23" s="57"/>
      <c r="U23" s="66">
        <f t="shared" ref="U23:U38" si="14">R23+B23</f>
        <v>150553</v>
      </c>
      <c r="V23" s="67"/>
      <c r="W23" s="87" t="s">
        <v>34</v>
      </c>
      <c r="X23" s="78">
        <f t="shared" si="9"/>
        <v>72540</v>
      </c>
      <c r="Y23" s="68">
        <f t="shared" si="2"/>
        <v>14667</v>
      </c>
      <c r="Z23" s="79">
        <f t="shared" si="11"/>
        <v>0.12516043678297098</v>
      </c>
      <c r="AA23" s="79">
        <f t="shared" si="12"/>
        <v>0.10793606405369206</v>
      </c>
      <c r="AB23" s="77">
        <f>+AB24/U15</f>
        <v>1.0808351740822553</v>
      </c>
      <c r="AC23" s="92">
        <f>(149514+30000)/(519700+455500)</f>
        <v>0.18407916324856441</v>
      </c>
      <c r="AD23" s="2" t="s">
        <v>117</v>
      </c>
      <c r="AE23" s="8">
        <f t="shared" si="4"/>
        <v>135886</v>
      </c>
      <c r="AF23" s="8">
        <f t="shared" si="5"/>
        <v>101286</v>
      </c>
      <c r="AG23" s="8">
        <f t="shared" si="6"/>
        <v>64190</v>
      </c>
      <c r="AH23" s="34">
        <f t="shared" si="7"/>
        <v>6110</v>
      </c>
      <c r="AI23" s="8">
        <f t="shared" si="8"/>
        <v>18151</v>
      </c>
      <c r="AJ23" s="8">
        <f>F23</f>
        <v>23350</v>
      </c>
      <c r="AK23" s="8"/>
      <c r="AL23" s="8">
        <f t="shared" si="10"/>
        <v>34600</v>
      </c>
      <c r="AM23" s="5"/>
      <c r="AN23" s="5"/>
      <c r="AO23" s="5"/>
      <c r="AP23" s="5"/>
      <c r="AQ23" s="8"/>
      <c r="AR23" s="187"/>
      <c r="AS23" s="8"/>
      <c r="AT23" s="8"/>
      <c r="AU23" s="8"/>
      <c r="AV23" s="8"/>
      <c r="AW23" s="8"/>
      <c r="AX23" s="8"/>
      <c r="AY23" s="6"/>
      <c r="AZ23" s="93"/>
      <c r="BA23" s="71"/>
      <c r="BB23" s="71"/>
      <c r="BC23" s="6"/>
      <c r="BD23" s="8"/>
      <c r="BE23" s="8"/>
      <c r="BF23" s="8"/>
      <c r="BG23" s="8"/>
      <c r="BH23" s="8"/>
      <c r="BI23" s="8"/>
      <c r="BJ23" s="5"/>
      <c r="BK23" s="5"/>
      <c r="BL23" s="8"/>
      <c r="BM23" s="8"/>
      <c r="BN23" s="8"/>
      <c r="BO23" s="11"/>
      <c r="BP23" s="8"/>
      <c r="BQ23" s="8"/>
      <c r="BR23" s="8"/>
      <c r="BS23" s="8"/>
      <c r="BT23" s="8"/>
      <c r="BU23" s="8"/>
      <c r="BV23" s="8"/>
      <c r="BW23" s="8"/>
      <c r="BX23" s="8"/>
      <c r="BY23" s="11"/>
      <c r="BZ23" s="8"/>
      <c r="CA23" s="8"/>
      <c r="CB23" s="8"/>
      <c r="CC23" s="8"/>
      <c r="CD23" s="8"/>
      <c r="CE23" s="5"/>
      <c r="CF23" s="5"/>
      <c r="CG23" s="5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12"/>
      <c r="DD23" s="12"/>
      <c r="DE23" s="8"/>
      <c r="DF23" s="8"/>
      <c r="DG23" s="8"/>
      <c r="DH23" s="8"/>
      <c r="DI23" s="34"/>
      <c r="DJ23" s="18"/>
      <c r="DK23" s="18"/>
      <c r="DL23" s="18"/>
      <c r="DM23" s="18"/>
      <c r="DN23" s="18"/>
      <c r="DO23" s="18"/>
      <c r="DP23" s="18"/>
      <c r="DQ23" s="18"/>
      <c r="DR23" s="18"/>
      <c r="DS23" s="8"/>
      <c r="DT23" s="18"/>
      <c r="DU23" s="5"/>
      <c r="DV23" s="5"/>
      <c r="DW23" s="18"/>
      <c r="DX23" s="18"/>
      <c r="DY23" s="19"/>
      <c r="DZ23" s="34"/>
      <c r="EA23" s="34"/>
      <c r="EB23" s="34"/>
      <c r="EC23" s="34"/>
      <c r="ED23" s="34"/>
      <c r="EE23" s="34"/>
      <c r="EF23" s="34"/>
      <c r="EG23" s="34"/>
      <c r="EH23" s="34"/>
      <c r="EI23" s="8"/>
      <c r="EJ23" s="8"/>
      <c r="EK23" s="8"/>
      <c r="EL23" s="8"/>
      <c r="EM23" s="8"/>
      <c r="EN23" s="8"/>
      <c r="EU23" s="11"/>
      <c r="EV23" s="8"/>
      <c r="EW23" s="8"/>
      <c r="EX23" s="11"/>
      <c r="EY23" s="8"/>
      <c r="EZ23" s="11"/>
      <c r="FA23" s="8"/>
      <c r="FB23" s="8"/>
      <c r="FC23" s="11"/>
      <c r="FD23" s="8"/>
      <c r="FE23" s="11"/>
      <c r="FF23" s="8"/>
      <c r="FG23" s="8"/>
      <c r="FH23" s="8"/>
      <c r="FI23" s="8"/>
      <c r="FJ23" s="34"/>
      <c r="FK23" s="34"/>
      <c r="FL23" s="34"/>
      <c r="FM23" s="34"/>
      <c r="FN23" s="34"/>
      <c r="FO23" s="34"/>
      <c r="FP23" s="34"/>
      <c r="FQ23" s="34"/>
      <c r="FR23" s="8"/>
      <c r="FS23" s="5"/>
      <c r="FT23" s="5"/>
      <c r="FU23" s="5"/>
      <c r="FV23" s="11"/>
      <c r="FW23" s="8"/>
      <c r="FX23" s="8"/>
      <c r="FY23" s="8"/>
      <c r="FZ23" s="8"/>
      <c r="GA23" s="8"/>
      <c r="GB23" s="11"/>
      <c r="GC23" s="8"/>
      <c r="GD23" s="8"/>
      <c r="GE23" s="8"/>
      <c r="GF23" s="8"/>
      <c r="GG23" s="8"/>
      <c r="GH23" s="11"/>
      <c r="GI23" s="8"/>
      <c r="GJ23" s="8"/>
      <c r="GK23" s="8"/>
      <c r="GL23" s="8"/>
      <c r="GM23" s="8"/>
      <c r="GN23" s="8"/>
      <c r="GO23" s="8"/>
      <c r="GP23" s="8"/>
      <c r="GQ23" s="8"/>
      <c r="GR23" s="11"/>
      <c r="GS23" s="5"/>
      <c r="GU23" s="5"/>
      <c r="GV23" s="5"/>
      <c r="GW23" s="5"/>
      <c r="GX23" s="5"/>
      <c r="GY23" s="5"/>
      <c r="GZ23" s="5"/>
      <c r="HA23" s="5"/>
      <c r="HB23" s="5"/>
      <c r="HC23" s="34"/>
      <c r="HD23" s="34"/>
      <c r="HE23" s="34"/>
      <c r="HF23" s="34"/>
      <c r="HG23" s="34"/>
      <c r="HH23" s="34"/>
      <c r="HI23" s="8"/>
      <c r="HJ23" s="8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F23" s="183"/>
      <c r="IG23" s="5"/>
      <c r="IH23" s="5"/>
      <c r="II23" s="5"/>
      <c r="IJ23" s="5"/>
      <c r="IK23" s="5"/>
      <c r="IL23" s="5"/>
      <c r="IM23" s="5"/>
      <c r="IN23" s="5"/>
      <c r="IO23" s="5"/>
    </row>
    <row r="24" spans="1:249" ht="15" customHeight="1" x14ac:dyDescent="0.3">
      <c r="A24" s="83" t="s">
        <v>193</v>
      </c>
      <c r="B24" s="176">
        <f>29580+6320+1600+413</f>
        <v>37913</v>
      </c>
      <c r="C24" s="69"/>
      <c r="D24" s="70"/>
      <c r="F24" s="59">
        <v>28366</v>
      </c>
      <c r="G24" s="70"/>
      <c r="H24" s="90"/>
      <c r="I24" s="59">
        <v>18151</v>
      </c>
      <c r="J24" s="70"/>
      <c r="K24" s="86"/>
      <c r="L24" s="84">
        <v>7294</v>
      </c>
      <c r="M24" s="70"/>
      <c r="N24" s="86"/>
      <c r="O24" s="56">
        <f>73830-L24</f>
        <v>66536</v>
      </c>
      <c r="P24" s="70"/>
      <c r="Q24" s="57"/>
      <c r="R24" s="56">
        <f t="shared" si="13"/>
        <v>120347</v>
      </c>
      <c r="S24" s="70"/>
      <c r="T24" s="57"/>
      <c r="U24" s="66">
        <f t="shared" si="14"/>
        <v>158260</v>
      </c>
      <c r="V24" s="70"/>
      <c r="W24" s="87" t="s">
        <v>194</v>
      </c>
      <c r="X24" s="78">
        <f t="shared" si="9"/>
        <v>73830</v>
      </c>
      <c r="Y24" s="68">
        <f t="shared" si="2"/>
        <v>7707</v>
      </c>
      <c r="Z24" s="79">
        <f t="shared" si="11"/>
        <v>5.6018181339557577E-2</v>
      </c>
      <c r="AA24" s="79">
        <f t="shared" si="12"/>
        <v>5.1191274833447355E-2</v>
      </c>
      <c r="AB24" s="81">
        <f>+U24-U15</f>
        <v>82204</v>
      </c>
      <c r="AC24" s="4">
        <f>120347-120229</f>
        <v>118</v>
      </c>
      <c r="AE24" s="8"/>
      <c r="AF24" s="8"/>
      <c r="AG24" s="8"/>
      <c r="AH24" s="34"/>
      <c r="AI24" s="8"/>
      <c r="AJ24" s="8"/>
      <c r="AK24" s="8"/>
      <c r="AL24" s="8"/>
      <c r="AM24" s="5"/>
      <c r="AN24" s="5"/>
      <c r="AO24" s="5"/>
      <c r="AP24" s="5"/>
      <c r="AQ24" s="8"/>
      <c r="AR24" s="187"/>
      <c r="AS24" s="8"/>
      <c r="AT24" s="8"/>
      <c r="AU24" s="8"/>
      <c r="AV24" s="8"/>
      <c r="AW24" s="8"/>
      <c r="AX24" s="8"/>
      <c r="AY24" s="6"/>
      <c r="AZ24" s="93"/>
      <c r="BA24" s="71"/>
      <c r="BB24" s="71"/>
      <c r="BC24" s="6"/>
      <c r="BD24" s="8"/>
      <c r="BE24" s="8"/>
      <c r="BF24" s="8"/>
      <c r="BG24" s="8"/>
      <c r="BH24" s="8"/>
      <c r="BI24" s="8"/>
      <c r="BJ24" s="5"/>
      <c r="BK24" s="5"/>
      <c r="BL24" s="8"/>
      <c r="BM24" s="8"/>
      <c r="BN24" s="8"/>
      <c r="BO24" s="11"/>
      <c r="BP24" s="8"/>
      <c r="BQ24" s="8"/>
      <c r="BR24" s="8"/>
      <c r="BS24" s="8"/>
      <c r="BT24" s="8"/>
      <c r="BU24" s="8"/>
      <c r="BV24" s="8"/>
      <c r="BW24" s="8"/>
      <c r="BX24" s="8"/>
      <c r="BY24" s="11"/>
      <c r="BZ24" s="8"/>
      <c r="CA24" s="8"/>
      <c r="CB24" s="8"/>
      <c r="CC24" s="8"/>
      <c r="CD24" s="8"/>
      <c r="CE24" s="5"/>
      <c r="CF24" s="5"/>
      <c r="CG24" s="5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12"/>
      <c r="DD24" s="12"/>
      <c r="DE24" s="8"/>
      <c r="DF24" s="8"/>
      <c r="DG24" s="8"/>
      <c r="DH24" s="8"/>
      <c r="DI24" s="34"/>
      <c r="DJ24" s="18"/>
      <c r="DK24" s="18"/>
      <c r="DL24" s="18"/>
      <c r="DM24" s="18"/>
      <c r="DN24" s="18"/>
      <c r="DO24" s="18"/>
      <c r="DP24" s="18"/>
      <c r="DQ24" s="18"/>
      <c r="DR24" s="18"/>
      <c r="DS24" s="8"/>
      <c r="DT24" s="18"/>
      <c r="DU24" s="5"/>
      <c r="DV24" s="5"/>
      <c r="DW24" s="18"/>
      <c r="DX24" s="18"/>
      <c r="DY24" s="19"/>
      <c r="DZ24" s="34"/>
      <c r="EA24" s="34"/>
      <c r="EB24" s="34"/>
      <c r="EC24" s="34"/>
      <c r="ED24" s="34"/>
      <c r="EE24" s="34"/>
      <c r="EF24" s="34"/>
      <c r="EG24" s="34"/>
      <c r="EH24" s="34"/>
      <c r="EI24" s="8"/>
      <c r="EJ24" s="8"/>
      <c r="EK24" s="8"/>
      <c r="EL24" s="8"/>
      <c r="EM24" s="8"/>
      <c r="EN24" s="8"/>
      <c r="EU24" s="11"/>
      <c r="EV24" s="8"/>
      <c r="EW24" s="8"/>
      <c r="EX24" s="11"/>
      <c r="EY24" s="8"/>
      <c r="EZ24" s="11"/>
      <c r="FA24" s="8"/>
      <c r="FB24" s="8"/>
      <c r="FC24" s="11"/>
      <c r="FD24" s="8"/>
      <c r="FE24" s="11"/>
      <c r="FF24" s="8"/>
      <c r="FG24" s="8"/>
      <c r="FH24" s="8"/>
      <c r="FI24" s="8"/>
      <c r="FJ24" s="34"/>
      <c r="FK24" s="34"/>
      <c r="FL24" s="34"/>
      <c r="FM24" s="34"/>
      <c r="FN24" s="34"/>
      <c r="FO24" s="34"/>
      <c r="FP24" s="34"/>
      <c r="FQ24" s="34"/>
      <c r="FR24" s="8"/>
      <c r="FS24" s="5"/>
      <c r="FT24" s="5"/>
      <c r="FU24" s="5"/>
      <c r="FV24" s="11"/>
      <c r="FW24" s="8"/>
      <c r="FX24" s="8"/>
      <c r="FY24" s="8"/>
      <c r="FZ24" s="8"/>
      <c r="GA24" s="8"/>
      <c r="GB24" s="11"/>
      <c r="GC24" s="8"/>
      <c r="GD24" s="8"/>
      <c r="GE24" s="8"/>
      <c r="GF24" s="8"/>
      <c r="GG24" s="8"/>
      <c r="GH24" s="11"/>
      <c r="GI24" s="8"/>
      <c r="GJ24" s="8"/>
      <c r="GK24" s="8"/>
      <c r="GL24" s="8"/>
      <c r="GM24" s="8"/>
      <c r="GN24" s="8"/>
      <c r="GO24" s="8"/>
      <c r="GP24" s="8"/>
      <c r="GQ24" s="8"/>
      <c r="GR24" s="11"/>
      <c r="GS24" s="5"/>
      <c r="GU24" s="5"/>
      <c r="GV24" s="5"/>
      <c r="GW24" s="5"/>
      <c r="GX24" s="5"/>
      <c r="GY24" s="5"/>
      <c r="GZ24" s="5"/>
      <c r="HA24" s="5"/>
      <c r="HB24" s="5"/>
      <c r="HC24" s="34"/>
      <c r="HD24" s="34"/>
      <c r="HE24" s="34"/>
      <c r="HF24" s="34"/>
      <c r="HG24" s="34"/>
      <c r="HH24" s="34"/>
      <c r="HI24" s="8"/>
      <c r="HJ24" s="8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F24" s="183"/>
      <c r="IG24" s="5"/>
      <c r="IH24" s="5"/>
      <c r="II24" s="5"/>
      <c r="IJ24" s="5"/>
      <c r="IK24" s="5"/>
      <c r="IL24" s="5"/>
      <c r="IM24" s="5"/>
      <c r="IN24" s="5"/>
      <c r="IO24" s="5"/>
    </row>
    <row r="25" spans="1:249" ht="15" customHeight="1" x14ac:dyDescent="0.3">
      <c r="A25" s="83" t="s">
        <v>195</v>
      </c>
      <c r="B25" s="176">
        <f>30460+6650+1690+459</f>
        <v>39259</v>
      </c>
      <c r="C25" s="69"/>
      <c r="D25" s="70"/>
      <c r="F25" s="59">
        <v>33369</v>
      </c>
      <c r="G25" s="70"/>
      <c r="H25" s="90"/>
      <c r="I25" s="80">
        <v>19317</v>
      </c>
      <c r="J25" s="70"/>
      <c r="K25" s="86"/>
      <c r="L25" s="84">
        <v>7279</v>
      </c>
      <c r="M25" s="70"/>
      <c r="N25" s="86"/>
      <c r="O25" s="56">
        <f>74210-L25</f>
        <v>66931</v>
      </c>
      <c r="P25" s="70"/>
      <c r="Q25" s="57"/>
      <c r="R25" s="56">
        <f t="shared" si="13"/>
        <v>126896</v>
      </c>
      <c r="S25" s="70"/>
      <c r="T25" s="57"/>
      <c r="U25" s="66">
        <f t="shared" si="14"/>
        <v>166155</v>
      </c>
      <c r="V25" s="70"/>
      <c r="W25" s="87" t="s">
        <v>196</v>
      </c>
      <c r="X25" s="78">
        <f t="shared" si="9"/>
        <v>74210</v>
      </c>
      <c r="Y25" s="68">
        <f t="shared" si="2"/>
        <v>7895</v>
      </c>
      <c r="Z25" s="79">
        <f t="shared" si="11"/>
        <v>5.4417642317631514E-2</v>
      </c>
      <c r="AA25" s="79">
        <f t="shared" si="12"/>
        <v>4.9886263111335774E-2</v>
      </c>
      <c r="AB25" s="95">
        <f>+U26-U15</f>
        <v>95250</v>
      </c>
      <c r="AC25" s="96">
        <f>+U26+35225</f>
        <v>206531</v>
      </c>
      <c r="AD25" s="97">
        <f>211400/AC25</f>
        <v>1.0235751533668069</v>
      </c>
      <c r="AE25" s="98">
        <f>9.8/9.3</f>
        <v>1.053763440860215</v>
      </c>
      <c r="AF25" s="8"/>
      <c r="AG25" s="8"/>
      <c r="AH25" s="34"/>
      <c r="AI25" s="8"/>
      <c r="AJ25" s="8"/>
      <c r="AK25" s="8"/>
      <c r="AL25" s="8"/>
      <c r="AM25" s="5"/>
      <c r="AN25" s="5"/>
      <c r="AO25" s="5"/>
      <c r="AP25" s="5"/>
      <c r="AQ25" s="8"/>
      <c r="AR25" s="187"/>
      <c r="AS25" s="8"/>
      <c r="AT25" s="8"/>
      <c r="AU25" s="8"/>
      <c r="AV25" s="8"/>
      <c r="AW25" s="8"/>
      <c r="AX25" s="8"/>
      <c r="AY25" s="6"/>
      <c r="AZ25" s="93"/>
      <c r="BA25" s="71"/>
      <c r="BB25" s="71"/>
      <c r="BC25" s="6"/>
      <c r="BD25" s="8"/>
      <c r="BE25" s="8"/>
      <c r="BF25" s="8"/>
      <c r="BG25" s="8"/>
      <c r="BH25" s="8"/>
      <c r="BI25" s="8"/>
      <c r="BJ25" s="5"/>
      <c r="BK25" s="5"/>
      <c r="BL25" s="8"/>
      <c r="BM25" s="8"/>
      <c r="BN25" s="8"/>
      <c r="BO25" s="11"/>
      <c r="BP25" s="8"/>
      <c r="BQ25" s="8"/>
      <c r="BR25" s="8"/>
      <c r="BS25" s="8"/>
      <c r="BT25" s="8"/>
      <c r="BU25" s="8"/>
      <c r="BV25" s="8"/>
      <c r="BW25" s="8"/>
      <c r="BX25" s="8"/>
      <c r="BY25" s="11"/>
      <c r="BZ25" s="8"/>
      <c r="CA25" s="8"/>
      <c r="CB25" s="8"/>
      <c r="CC25" s="8"/>
      <c r="CD25" s="8"/>
      <c r="CE25" s="5"/>
      <c r="CF25" s="5"/>
      <c r="CG25" s="5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12"/>
      <c r="DD25" s="12"/>
      <c r="DE25" s="8"/>
      <c r="DF25" s="8"/>
      <c r="DG25" s="8"/>
      <c r="DH25" s="8"/>
      <c r="DI25" s="34"/>
      <c r="DJ25" s="18"/>
      <c r="DK25" s="18"/>
      <c r="DL25" s="18"/>
      <c r="DM25" s="18"/>
      <c r="DN25" s="18"/>
      <c r="DO25" s="18"/>
      <c r="DP25" s="18"/>
      <c r="DQ25" s="18"/>
      <c r="DR25" s="18"/>
      <c r="DS25" s="8"/>
      <c r="DT25" s="18"/>
      <c r="DU25" s="5"/>
      <c r="DV25" s="5"/>
      <c r="DW25" s="18"/>
      <c r="DX25" s="18"/>
      <c r="DY25" s="19"/>
      <c r="DZ25" s="34"/>
      <c r="EA25" s="34"/>
      <c r="EB25" s="34"/>
      <c r="EC25" s="34"/>
      <c r="ED25" s="34"/>
      <c r="EE25" s="34"/>
      <c r="EF25" s="34"/>
      <c r="EG25" s="34"/>
      <c r="EH25" s="34"/>
      <c r="EI25" s="8"/>
      <c r="EJ25" s="8"/>
      <c r="EK25" s="8"/>
      <c r="EL25" s="8"/>
      <c r="EM25" s="8"/>
      <c r="EN25" s="8"/>
      <c r="EU25" s="11"/>
      <c r="EV25" s="8"/>
      <c r="EW25" s="8"/>
      <c r="EX25" s="11"/>
      <c r="EY25" s="8"/>
      <c r="EZ25" s="11"/>
      <c r="FA25" s="8"/>
      <c r="FB25" s="8"/>
      <c r="FC25" s="11"/>
      <c r="FD25" s="8"/>
      <c r="FE25" s="11"/>
      <c r="FF25" s="8"/>
      <c r="FG25" s="8"/>
      <c r="FH25" s="8"/>
      <c r="FI25" s="8"/>
      <c r="FJ25" s="34"/>
      <c r="FK25" s="34"/>
      <c r="FL25" s="34"/>
      <c r="FM25" s="34"/>
      <c r="FN25" s="34"/>
      <c r="FO25" s="34"/>
      <c r="FP25" s="34"/>
      <c r="FQ25" s="34"/>
      <c r="FR25" s="8"/>
      <c r="FS25" s="5"/>
      <c r="FT25" s="5"/>
      <c r="FU25" s="5"/>
      <c r="FV25" s="11"/>
      <c r="FW25" s="8"/>
      <c r="FX25" s="8"/>
      <c r="FY25" s="8"/>
      <c r="FZ25" s="8"/>
      <c r="GA25" s="8"/>
      <c r="GB25" s="11"/>
      <c r="GC25" s="8"/>
      <c r="GD25" s="8"/>
      <c r="GE25" s="8"/>
      <c r="GF25" s="8"/>
      <c r="GG25" s="8"/>
      <c r="GH25" s="11"/>
      <c r="GI25" s="8"/>
      <c r="GJ25" s="8"/>
      <c r="GK25" s="8"/>
      <c r="GL25" s="8"/>
      <c r="GM25" s="8"/>
      <c r="GN25" s="8"/>
      <c r="GO25" s="8"/>
      <c r="GP25" s="8"/>
      <c r="GQ25" s="8"/>
      <c r="GR25" s="11"/>
      <c r="GS25" s="5"/>
      <c r="GU25" s="5"/>
      <c r="GV25" s="5"/>
      <c r="GW25" s="5"/>
      <c r="GX25" s="5"/>
      <c r="GY25" s="5"/>
      <c r="GZ25" s="5"/>
      <c r="HA25" s="5"/>
      <c r="HB25" s="5"/>
      <c r="HC25" s="34"/>
      <c r="HD25" s="34"/>
      <c r="HE25" s="34"/>
      <c r="HF25" s="34"/>
      <c r="HG25" s="34"/>
      <c r="HH25" s="34"/>
      <c r="HI25" s="8"/>
      <c r="HJ25" s="8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F25" s="183"/>
      <c r="IG25" s="5"/>
      <c r="IH25" s="5"/>
      <c r="II25" s="5"/>
      <c r="IJ25" s="5"/>
      <c r="IK25" s="5"/>
      <c r="IL25" s="5"/>
      <c r="IM25" s="5"/>
      <c r="IN25" s="5"/>
      <c r="IO25" s="5"/>
    </row>
    <row r="26" spans="1:249" ht="15" customHeight="1" x14ac:dyDescent="0.3">
      <c r="A26" s="99" t="s">
        <v>197</v>
      </c>
      <c r="B26" s="176">
        <f>31085+7025+1550+585</f>
        <v>40245</v>
      </c>
      <c r="C26" s="69"/>
      <c r="D26" s="70"/>
      <c r="F26" s="59">
        <v>37325</v>
      </c>
      <c r="G26" s="70"/>
      <c r="H26" s="90"/>
      <c r="I26" s="80">
        <v>19646</v>
      </c>
      <c r="J26" s="70"/>
      <c r="K26" s="86"/>
      <c r="L26" s="84">
        <v>7374</v>
      </c>
      <c r="M26" s="70"/>
      <c r="N26" s="86"/>
      <c r="O26" s="56">
        <f>74090-L26</f>
        <v>66716</v>
      </c>
      <c r="P26" s="70"/>
      <c r="Q26" s="57"/>
      <c r="R26" s="56">
        <f t="shared" si="13"/>
        <v>131061</v>
      </c>
      <c r="S26" s="70"/>
      <c r="T26" s="57"/>
      <c r="U26" s="66">
        <f t="shared" si="14"/>
        <v>171306</v>
      </c>
      <c r="V26" s="70"/>
      <c r="W26" s="87" t="s">
        <v>198</v>
      </c>
      <c r="X26" s="78">
        <f t="shared" si="9"/>
        <v>74090</v>
      </c>
      <c r="Y26" s="68">
        <f t="shared" si="2"/>
        <v>5151</v>
      </c>
      <c r="Z26" s="79">
        <f t="shared" si="11"/>
        <v>3.2822153574580758E-2</v>
      </c>
      <c r="AA26" s="79">
        <f t="shared" si="12"/>
        <v>3.1001173602961091E-2</v>
      </c>
      <c r="AB26" s="81">
        <f>+L27+I28+F19</f>
        <v>37235</v>
      </c>
      <c r="AC26" s="100">
        <f>+AB25/U15</f>
        <v>1.252366677185232</v>
      </c>
      <c r="AE26" s="101">
        <f>+(9.8-9.3)/9.3</f>
        <v>5.3763440860215048E-2</v>
      </c>
      <c r="AF26" s="8"/>
      <c r="AG26" s="8"/>
      <c r="AH26" s="34"/>
      <c r="AI26" s="8"/>
      <c r="AJ26" s="8"/>
      <c r="AK26" s="8"/>
      <c r="AL26" s="8"/>
      <c r="AM26" s="5"/>
      <c r="AN26" s="5"/>
      <c r="AO26" s="5"/>
      <c r="AP26" s="5"/>
      <c r="AQ26" s="8"/>
      <c r="AR26" s="187"/>
      <c r="AS26" s="8"/>
      <c r="AT26" s="8"/>
      <c r="AU26" s="8"/>
      <c r="AV26" s="8"/>
      <c r="AW26" s="8"/>
      <c r="AX26" s="8"/>
      <c r="AY26" s="6"/>
      <c r="AZ26" s="93"/>
      <c r="BA26" s="71"/>
      <c r="BB26" s="71"/>
      <c r="BC26" s="6"/>
      <c r="BD26" s="8"/>
      <c r="BE26" s="8"/>
      <c r="BF26" s="8"/>
      <c r="BG26" s="8"/>
      <c r="BH26" s="8"/>
      <c r="BI26" s="8"/>
      <c r="BJ26" s="5"/>
      <c r="BK26" s="5"/>
      <c r="BL26" s="8"/>
      <c r="BM26" s="8"/>
      <c r="BN26" s="8"/>
      <c r="BO26" s="11"/>
      <c r="BP26" s="8"/>
      <c r="BQ26" s="8"/>
      <c r="BR26" s="8"/>
      <c r="BS26" s="8"/>
      <c r="BT26" s="8"/>
      <c r="BU26" s="8"/>
      <c r="BV26" s="8"/>
      <c r="BW26" s="8"/>
      <c r="BX26" s="8"/>
      <c r="BY26" s="11"/>
      <c r="BZ26" s="8"/>
      <c r="CA26" s="8"/>
      <c r="CB26" s="8"/>
      <c r="CC26" s="8"/>
      <c r="CD26" s="8"/>
      <c r="CE26" s="5"/>
      <c r="CF26" s="5"/>
      <c r="CG26" s="5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12"/>
      <c r="DD26" s="12"/>
      <c r="DE26" s="8"/>
      <c r="DF26" s="8"/>
      <c r="DG26" s="8"/>
      <c r="DH26" s="8"/>
      <c r="DI26" s="34"/>
      <c r="DJ26" s="18"/>
      <c r="DK26" s="18"/>
      <c r="DL26" s="18"/>
      <c r="DM26" s="18"/>
      <c r="DN26" s="18"/>
      <c r="DO26" s="18"/>
      <c r="DP26" s="18"/>
      <c r="DQ26" s="18"/>
      <c r="DR26" s="18"/>
      <c r="DS26" s="8"/>
      <c r="DT26" s="18"/>
      <c r="DU26" s="5"/>
      <c r="DV26" s="5"/>
      <c r="DW26" s="18"/>
      <c r="DX26" s="18"/>
      <c r="DY26" s="19"/>
      <c r="DZ26" s="34"/>
      <c r="EA26" s="34"/>
      <c r="EB26" s="34"/>
      <c r="EC26" s="34"/>
      <c r="ED26" s="34"/>
      <c r="EE26" s="34"/>
      <c r="EF26" s="34"/>
      <c r="EG26" s="34"/>
      <c r="EH26" s="34"/>
      <c r="EI26" s="8"/>
      <c r="EJ26" s="8"/>
      <c r="EK26" s="8"/>
      <c r="EL26" s="8"/>
      <c r="EM26" s="8"/>
      <c r="EN26" s="8"/>
      <c r="EU26" s="11"/>
      <c r="EV26" s="8"/>
      <c r="EW26" s="8"/>
      <c r="EX26" s="11"/>
      <c r="EY26" s="8"/>
      <c r="EZ26" s="11"/>
      <c r="FA26" s="8"/>
      <c r="FB26" s="8"/>
      <c r="FC26" s="11"/>
      <c r="FD26" s="8"/>
      <c r="FE26" s="11"/>
      <c r="FF26" s="8"/>
      <c r="FG26" s="8"/>
      <c r="FH26" s="8"/>
      <c r="FI26" s="8"/>
      <c r="FJ26" s="34"/>
      <c r="FK26" s="34"/>
      <c r="FL26" s="34"/>
      <c r="FM26" s="34"/>
      <c r="FN26" s="34"/>
      <c r="FO26" s="34"/>
      <c r="FP26" s="34"/>
      <c r="FQ26" s="34"/>
      <c r="FR26" s="8"/>
      <c r="FS26" s="5"/>
      <c r="FT26" s="5"/>
      <c r="FU26" s="5"/>
      <c r="FV26" s="11"/>
      <c r="FW26" s="8"/>
      <c r="FX26" s="8"/>
      <c r="FY26" s="8"/>
      <c r="FZ26" s="8"/>
      <c r="GA26" s="8"/>
      <c r="GB26" s="11"/>
      <c r="GC26" s="8"/>
      <c r="GD26" s="8"/>
      <c r="GE26" s="8"/>
      <c r="GF26" s="8"/>
      <c r="GG26" s="8"/>
      <c r="GH26" s="11"/>
      <c r="GI26" s="8"/>
      <c r="GJ26" s="8"/>
      <c r="GK26" s="8"/>
      <c r="GL26" s="8"/>
      <c r="GM26" s="8"/>
      <c r="GN26" s="8"/>
      <c r="GO26" s="8"/>
      <c r="GP26" s="8"/>
      <c r="GQ26" s="8"/>
      <c r="GR26" s="11"/>
      <c r="GS26" s="5"/>
      <c r="GU26" s="5"/>
      <c r="GV26" s="5"/>
      <c r="GW26" s="5"/>
      <c r="GX26" s="5"/>
      <c r="GY26" s="5"/>
      <c r="GZ26" s="5"/>
      <c r="HA26" s="5"/>
      <c r="HB26" s="5"/>
      <c r="HC26" s="34"/>
      <c r="HD26" s="34"/>
      <c r="HE26" s="34"/>
      <c r="HF26" s="34"/>
      <c r="HG26" s="34"/>
      <c r="HH26" s="34"/>
      <c r="HI26" s="8"/>
      <c r="HJ26" s="8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F26" s="183"/>
      <c r="IG26" s="5"/>
      <c r="IH26" s="5"/>
      <c r="II26" s="5"/>
      <c r="IJ26" s="5"/>
      <c r="IK26" s="5"/>
      <c r="IL26" s="5"/>
      <c r="IM26" s="5"/>
      <c r="IN26" s="5"/>
      <c r="IO26" s="5"/>
    </row>
    <row r="27" spans="1:249" s="52" customFormat="1" ht="15" customHeight="1" x14ac:dyDescent="0.3">
      <c r="A27" s="102" t="s">
        <v>199</v>
      </c>
      <c r="B27" s="177">
        <f>33182+7424+1490+767+65+14</f>
        <v>42942</v>
      </c>
      <c r="C27" s="104"/>
      <c r="D27" s="105"/>
      <c r="F27" s="59">
        <v>42371</v>
      </c>
      <c r="G27" s="106"/>
      <c r="H27" s="107"/>
      <c r="I27" s="80">
        <v>19998</v>
      </c>
      <c r="J27" s="108"/>
      <c r="K27" s="109"/>
      <c r="L27" s="84">
        <v>7887</v>
      </c>
      <c r="M27" s="108"/>
      <c r="N27" s="109"/>
      <c r="O27" s="56">
        <f>75430-L27</f>
        <v>67543</v>
      </c>
      <c r="P27" s="110"/>
      <c r="Q27" s="111"/>
      <c r="R27" s="56">
        <f t="shared" si="13"/>
        <v>137799</v>
      </c>
      <c r="S27" s="110"/>
      <c r="T27" s="111"/>
      <c r="U27" s="66">
        <f t="shared" si="14"/>
        <v>180741</v>
      </c>
      <c r="V27" s="67"/>
      <c r="W27" s="112" t="s">
        <v>200</v>
      </c>
      <c r="X27" s="78">
        <f t="shared" si="9"/>
        <v>75430</v>
      </c>
      <c r="Y27" s="112">
        <f>66931+7279+39259-459</f>
        <v>113010</v>
      </c>
      <c r="Z27" s="79">
        <f t="shared" si="11"/>
        <v>5.1411174949069514E-2</v>
      </c>
      <c r="AA27" s="79">
        <f t="shared" si="12"/>
        <v>5.5076879969177962E-2</v>
      </c>
      <c r="AB27" s="113">
        <f>+U27-U15</f>
        <v>104685</v>
      </c>
      <c r="AC27" s="52">
        <f>38680+189840</f>
        <v>228520</v>
      </c>
      <c r="AD27" s="114"/>
      <c r="AE27" s="115"/>
      <c r="AF27" s="115"/>
      <c r="AG27" s="115"/>
      <c r="AH27" s="116"/>
      <c r="AI27" s="115"/>
      <c r="AJ27" s="115"/>
      <c r="AK27" s="115"/>
      <c r="AL27" s="115"/>
      <c r="AM27" s="117"/>
      <c r="AN27" s="117"/>
      <c r="AO27" s="117"/>
      <c r="AP27" s="117"/>
      <c r="AQ27" s="115"/>
      <c r="AR27" s="187"/>
      <c r="AS27" s="8"/>
      <c r="AT27" s="8"/>
      <c r="AU27" s="8"/>
      <c r="AV27" s="8"/>
      <c r="AW27" s="8"/>
      <c r="AX27" s="8"/>
      <c r="AY27" s="6"/>
      <c r="AZ27" s="93"/>
      <c r="BA27" s="71"/>
      <c r="BB27" s="71"/>
      <c r="BC27" s="6"/>
      <c r="BD27" s="8"/>
      <c r="BE27" s="8"/>
      <c r="BF27" s="8"/>
      <c r="BG27" s="8"/>
      <c r="BH27" s="8"/>
      <c r="BI27" s="8"/>
      <c r="BJ27" s="5"/>
      <c r="BK27" s="5"/>
      <c r="BL27" s="8"/>
      <c r="BM27" s="8"/>
      <c r="BN27" s="8"/>
      <c r="BO27" s="11"/>
      <c r="BP27" s="8"/>
      <c r="BQ27" s="8"/>
      <c r="BR27" s="8"/>
      <c r="BS27" s="8"/>
      <c r="BT27" s="8"/>
      <c r="BU27" s="8"/>
      <c r="BV27" s="8"/>
      <c r="BW27" s="8"/>
      <c r="BX27" s="8"/>
      <c r="BY27" s="11"/>
      <c r="BZ27" s="8"/>
      <c r="CA27" s="8"/>
      <c r="CB27" s="8"/>
      <c r="CC27" s="8"/>
      <c r="CD27" s="8"/>
      <c r="CE27" s="5"/>
      <c r="CF27" s="5"/>
      <c r="CG27" s="5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12"/>
      <c r="DD27" s="12"/>
      <c r="DE27" s="8"/>
      <c r="DF27" s="8"/>
      <c r="DG27" s="8"/>
      <c r="DH27" s="8"/>
      <c r="DI27" s="34"/>
      <c r="DJ27" s="18"/>
      <c r="DK27" s="18"/>
      <c r="DL27" s="18"/>
      <c r="DM27" s="18"/>
      <c r="DN27" s="18"/>
      <c r="DO27" s="18"/>
      <c r="DP27" s="18"/>
      <c r="DQ27" s="18"/>
      <c r="DR27" s="18"/>
      <c r="DS27" s="8"/>
      <c r="DT27" s="18"/>
      <c r="DU27" s="5"/>
      <c r="DV27" s="5"/>
      <c r="DW27" s="18"/>
      <c r="DX27" s="18"/>
      <c r="DY27" s="19"/>
      <c r="DZ27" s="34"/>
      <c r="EA27" s="34"/>
      <c r="EB27" s="34"/>
      <c r="EC27" s="34"/>
      <c r="ED27" s="34"/>
      <c r="EE27" s="34"/>
      <c r="EF27" s="34"/>
      <c r="EG27" s="34"/>
      <c r="EH27" s="34"/>
      <c r="EI27" s="8"/>
      <c r="EJ27" s="8"/>
      <c r="EK27" s="8"/>
      <c r="EL27" s="8"/>
      <c r="EM27" s="8"/>
      <c r="EN27" s="8"/>
      <c r="EO27" s="2"/>
      <c r="EP27" s="2"/>
      <c r="EQ27" s="2"/>
      <c r="ER27" s="2"/>
      <c r="ES27" s="2"/>
      <c r="ET27" s="2"/>
      <c r="EU27" s="11"/>
      <c r="EV27" s="8"/>
      <c r="EW27" s="8"/>
      <c r="EX27" s="11"/>
      <c r="EY27" s="8"/>
      <c r="EZ27" s="11"/>
      <c r="FA27" s="8"/>
      <c r="FB27" s="8"/>
      <c r="FC27" s="11"/>
      <c r="FD27" s="8"/>
      <c r="FE27" s="11"/>
      <c r="FF27" s="8"/>
      <c r="FG27" s="8"/>
      <c r="FH27" s="8"/>
      <c r="FI27" s="8"/>
      <c r="FJ27" s="34"/>
      <c r="FK27" s="34"/>
      <c r="FL27" s="34"/>
      <c r="FM27" s="34"/>
      <c r="FN27" s="34"/>
      <c r="FO27" s="34"/>
      <c r="FP27" s="34"/>
      <c r="FQ27" s="34"/>
      <c r="FR27" s="8"/>
      <c r="FS27" s="5"/>
      <c r="FT27" s="5"/>
      <c r="FU27" s="5"/>
      <c r="FV27" s="11"/>
      <c r="FW27" s="8"/>
      <c r="FX27" s="8"/>
      <c r="FY27" s="8"/>
      <c r="FZ27" s="8"/>
      <c r="GA27" s="8"/>
      <c r="GB27" s="11"/>
      <c r="GC27" s="8"/>
      <c r="GD27" s="8"/>
      <c r="GE27" s="8"/>
      <c r="GF27" s="8"/>
      <c r="GG27" s="8"/>
      <c r="GH27" s="11"/>
      <c r="GI27" s="8"/>
      <c r="GJ27" s="8"/>
      <c r="GK27" s="8"/>
      <c r="GL27" s="8"/>
      <c r="GM27" s="8"/>
      <c r="GN27" s="8"/>
      <c r="GO27" s="8"/>
      <c r="GP27" s="8"/>
      <c r="GQ27" s="8"/>
      <c r="GR27" s="11"/>
      <c r="GS27" s="5"/>
      <c r="GT27" s="2"/>
      <c r="GU27" s="5"/>
      <c r="GV27" s="5"/>
      <c r="GW27" s="5"/>
      <c r="GX27" s="5"/>
      <c r="GY27" s="5"/>
      <c r="GZ27" s="5"/>
      <c r="HA27" s="5"/>
      <c r="HB27" s="5"/>
      <c r="HC27" s="34"/>
      <c r="HD27" s="34"/>
      <c r="HE27" s="34"/>
      <c r="HF27" s="34"/>
      <c r="HG27" s="34"/>
      <c r="HH27" s="34"/>
      <c r="HI27" s="8"/>
      <c r="HJ27" s="8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2"/>
      <c r="IF27" s="183"/>
      <c r="IG27" s="117"/>
      <c r="IH27" s="117"/>
      <c r="II27" s="117"/>
      <c r="IJ27" s="117"/>
      <c r="IK27" s="117"/>
      <c r="IL27" s="117"/>
      <c r="IM27" s="117"/>
      <c r="IN27" s="117"/>
      <c r="IO27" s="117"/>
    </row>
    <row r="28" spans="1:249" ht="15" customHeight="1" x14ac:dyDescent="0.3">
      <c r="A28" s="102" t="s">
        <v>201</v>
      </c>
      <c r="B28" s="177">
        <f>34695+7980+1500+1280</f>
        <v>45455</v>
      </c>
      <c r="C28" s="104"/>
      <c r="D28" s="105"/>
      <c r="F28" s="59">
        <v>47046</v>
      </c>
      <c r="G28" s="106"/>
      <c r="H28" s="107"/>
      <c r="I28" s="80">
        <v>20701</v>
      </c>
      <c r="J28" s="108"/>
      <c r="K28" s="109"/>
      <c r="L28" s="84">
        <v>8199</v>
      </c>
      <c r="M28" s="108"/>
      <c r="N28" s="103"/>
      <c r="O28" s="103">
        <f>76695-L28</f>
        <v>68496</v>
      </c>
      <c r="P28" s="110"/>
      <c r="Q28" s="111"/>
      <c r="R28" s="56">
        <f t="shared" si="13"/>
        <v>144442</v>
      </c>
      <c r="S28" s="110"/>
      <c r="T28" s="111"/>
      <c r="U28" s="66">
        <f t="shared" si="14"/>
        <v>189897</v>
      </c>
      <c r="V28" s="67"/>
      <c r="W28" s="112" t="s">
        <v>202</v>
      </c>
      <c r="X28" s="78">
        <f t="shared" si="9"/>
        <v>76695</v>
      </c>
      <c r="Y28" s="125"/>
      <c r="Z28" s="79">
        <f t="shared" si="11"/>
        <v>4.8207897009412262E-2</v>
      </c>
      <c r="AA28" s="79">
        <f t="shared" si="12"/>
        <v>5.0658124055969589E-2</v>
      </c>
      <c r="AB28" s="126">
        <f>+AB27/U15</f>
        <v>1.3764200063111391</v>
      </c>
      <c r="AE28" s="8"/>
      <c r="AF28" s="8"/>
      <c r="AG28" s="8"/>
      <c r="AH28" s="34"/>
      <c r="AI28" s="8"/>
      <c r="AJ28" s="8"/>
      <c r="AK28" s="8"/>
      <c r="AL28" s="8"/>
      <c r="AM28" s="5"/>
      <c r="AN28" s="5"/>
      <c r="AO28" s="5"/>
      <c r="AP28" s="5"/>
      <c r="AQ28" s="8"/>
      <c r="AR28" s="187"/>
      <c r="AS28" s="8"/>
      <c r="AT28" s="8"/>
      <c r="AU28" s="8"/>
      <c r="AV28" s="8"/>
      <c r="AW28" s="8"/>
      <c r="AX28" s="8"/>
      <c r="AY28" s="6"/>
      <c r="AZ28" s="93"/>
      <c r="BA28" s="71"/>
      <c r="BB28" s="71"/>
      <c r="BC28" s="6"/>
      <c r="BD28" s="8"/>
      <c r="BE28" s="8"/>
      <c r="BF28" s="8"/>
      <c r="BG28" s="8"/>
      <c r="BH28" s="8"/>
      <c r="BI28" s="8"/>
      <c r="BJ28" s="5"/>
      <c r="BK28" s="5"/>
      <c r="BL28" s="8"/>
      <c r="BM28" s="8"/>
      <c r="BN28" s="8"/>
      <c r="BO28" s="11"/>
      <c r="BP28" s="8"/>
      <c r="BQ28" s="8"/>
      <c r="BR28" s="8"/>
      <c r="BS28" s="8"/>
      <c r="BT28" s="8"/>
      <c r="BU28" s="8"/>
      <c r="BV28" s="8"/>
      <c r="BW28" s="8"/>
      <c r="BX28" s="8"/>
      <c r="BY28" s="11"/>
      <c r="BZ28" s="8"/>
      <c r="CA28" s="8"/>
      <c r="CB28" s="8"/>
      <c r="CC28" s="8"/>
      <c r="CD28" s="8"/>
      <c r="CE28" s="5"/>
      <c r="CF28" s="5"/>
      <c r="CG28" s="5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12"/>
      <c r="DD28" s="12"/>
      <c r="DE28" s="8"/>
      <c r="DF28" s="8"/>
      <c r="DG28" s="8"/>
      <c r="DH28" s="8"/>
      <c r="DI28" s="34"/>
      <c r="DJ28" s="18"/>
      <c r="DK28" s="18"/>
      <c r="DL28" s="18"/>
      <c r="DM28" s="18"/>
      <c r="DN28" s="18"/>
      <c r="DO28" s="18"/>
      <c r="DP28" s="18"/>
      <c r="DQ28" s="18"/>
      <c r="DR28" s="18"/>
      <c r="DS28" s="8"/>
      <c r="DT28" s="18"/>
      <c r="DU28" s="5"/>
      <c r="DV28" s="5"/>
      <c r="DW28" s="18"/>
      <c r="DX28" s="18"/>
      <c r="DY28" s="19"/>
      <c r="DZ28" s="34"/>
      <c r="EA28" s="34"/>
      <c r="EB28" s="34"/>
      <c r="EC28" s="34"/>
      <c r="ED28" s="34"/>
      <c r="EE28" s="34"/>
      <c r="EF28" s="34"/>
      <c r="EG28" s="34"/>
      <c r="EH28" s="34"/>
      <c r="EI28" s="8"/>
      <c r="EJ28" s="8"/>
      <c r="EK28" s="8"/>
      <c r="EL28" s="8"/>
      <c r="EM28" s="8"/>
      <c r="EN28" s="8"/>
      <c r="EU28" s="11"/>
      <c r="EV28" s="8"/>
      <c r="EW28" s="8"/>
      <c r="EX28" s="11"/>
      <c r="EY28" s="8"/>
      <c r="EZ28" s="11"/>
      <c r="FA28" s="8"/>
      <c r="FB28" s="8"/>
      <c r="FC28" s="11"/>
      <c r="FD28" s="8"/>
      <c r="FE28" s="11"/>
      <c r="FF28" s="8"/>
      <c r="FG28" s="8"/>
      <c r="FH28" s="8"/>
      <c r="FI28" s="8"/>
      <c r="FJ28" s="34"/>
      <c r="FK28" s="34"/>
      <c r="FL28" s="34"/>
      <c r="FM28" s="34"/>
      <c r="FN28" s="34"/>
      <c r="FO28" s="34"/>
      <c r="FP28" s="34"/>
      <c r="FQ28" s="34"/>
      <c r="FR28" s="8"/>
      <c r="FS28" s="5"/>
      <c r="FT28" s="5"/>
      <c r="FU28" s="5"/>
      <c r="FV28" s="11"/>
      <c r="FW28" s="8"/>
      <c r="FX28" s="8"/>
      <c r="FY28" s="8"/>
      <c r="FZ28" s="8"/>
      <c r="GA28" s="8"/>
      <c r="GB28" s="11"/>
      <c r="GC28" s="8"/>
      <c r="GD28" s="8"/>
      <c r="GE28" s="8"/>
      <c r="GF28" s="8"/>
      <c r="GG28" s="8"/>
      <c r="GH28" s="11"/>
      <c r="GI28" s="8"/>
      <c r="GJ28" s="8"/>
      <c r="GK28" s="8"/>
      <c r="GL28" s="8"/>
      <c r="GM28" s="8"/>
      <c r="GN28" s="8"/>
      <c r="GO28" s="8"/>
      <c r="GP28" s="8"/>
      <c r="GQ28" s="8"/>
      <c r="GR28" s="11"/>
      <c r="GS28" s="5"/>
      <c r="GU28" s="5"/>
      <c r="GV28" s="5"/>
      <c r="GW28" s="5"/>
      <c r="GX28" s="5"/>
      <c r="GY28" s="5"/>
      <c r="GZ28" s="5"/>
      <c r="HA28" s="5"/>
      <c r="HB28" s="5"/>
      <c r="HC28" s="34"/>
      <c r="HD28" s="34"/>
      <c r="HE28" s="34"/>
      <c r="HF28" s="34"/>
      <c r="HG28" s="34"/>
      <c r="HH28" s="34"/>
      <c r="HI28" s="8"/>
      <c r="HJ28" s="8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F28" s="183"/>
      <c r="IG28" s="5"/>
      <c r="IH28" s="5"/>
      <c r="II28" s="5"/>
      <c r="IJ28" s="5"/>
      <c r="IK28" s="5"/>
      <c r="IL28" s="5"/>
      <c r="IM28" s="5"/>
      <c r="IN28" s="5"/>
      <c r="IO28" s="5"/>
    </row>
    <row r="29" spans="1:249" ht="15" customHeight="1" x14ac:dyDescent="0.3">
      <c r="A29" s="102" t="s">
        <v>203</v>
      </c>
      <c r="B29" s="177">
        <f>35840+8720+1530+2662+163</f>
        <v>48915</v>
      </c>
      <c r="C29" s="104"/>
      <c r="D29" s="105"/>
      <c r="E29" s="52"/>
      <c r="F29" s="59">
        <v>51057</v>
      </c>
      <c r="G29" s="106"/>
      <c r="H29" s="107"/>
      <c r="I29" s="80">
        <v>21714</v>
      </c>
      <c r="J29" s="108"/>
      <c r="K29" s="109"/>
      <c r="L29" s="84">
        <v>8511</v>
      </c>
      <c r="M29" s="108"/>
      <c r="N29" s="103"/>
      <c r="O29" s="103">
        <f>78715-L29</f>
        <v>70204</v>
      </c>
      <c r="P29" s="110"/>
      <c r="Q29" s="111"/>
      <c r="R29" s="56">
        <f>SUM(E29:O29)</f>
        <v>151486</v>
      </c>
      <c r="S29" s="110"/>
      <c r="T29" s="111"/>
      <c r="U29" s="66">
        <f t="shared" si="14"/>
        <v>200401</v>
      </c>
      <c r="V29" s="67"/>
      <c r="W29" s="112" t="s">
        <v>204</v>
      </c>
      <c r="X29" s="78"/>
      <c r="Y29" s="125"/>
      <c r="Z29" s="79"/>
      <c r="AA29" s="79"/>
      <c r="AB29" s="126"/>
      <c r="AE29" s="8"/>
      <c r="AF29" s="8"/>
      <c r="AG29" s="8"/>
      <c r="AH29" s="34"/>
      <c r="AI29" s="8"/>
      <c r="AJ29" s="8"/>
      <c r="AK29" s="8"/>
      <c r="AL29" s="8"/>
      <c r="AM29" s="5"/>
      <c r="AN29" s="5"/>
      <c r="AO29" s="5"/>
      <c r="AP29" s="5"/>
      <c r="AQ29" s="8"/>
      <c r="AR29" s="187"/>
      <c r="AS29" s="8"/>
      <c r="AT29" s="8"/>
      <c r="AU29" s="8"/>
      <c r="AV29" s="8"/>
      <c r="AW29" s="8"/>
      <c r="AX29" s="8"/>
      <c r="AY29" s="6"/>
      <c r="AZ29" s="93"/>
      <c r="BA29" s="71"/>
      <c r="BB29" s="71"/>
      <c r="BC29" s="6"/>
      <c r="BD29" s="8"/>
      <c r="BE29" s="8"/>
      <c r="BF29" s="8"/>
      <c r="BG29" s="8"/>
      <c r="BH29" s="8"/>
      <c r="BI29" s="8"/>
      <c r="BJ29" s="5"/>
      <c r="BK29" s="5"/>
      <c r="BL29" s="8"/>
      <c r="BM29" s="8"/>
      <c r="BN29" s="8"/>
      <c r="BO29" s="11"/>
      <c r="BP29" s="8"/>
      <c r="BQ29" s="8"/>
      <c r="BR29" s="8"/>
      <c r="BS29" s="8"/>
      <c r="BT29" s="8"/>
      <c r="BU29" s="8"/>
      <c r="BV29" s="8"/>
      <c r="BW29" s="8"/>
      <c r="BX29" s="8"/>
      <c r="BY29" s="11"/>
      <c r="BZ29" s="8"/>
      <c r="CA29" s="8"/>
      <c r="CB29" s="8"/>
      <c r="CC29" s="8"/>
      <c r="CD29" s="8"/>
      <c r="CE29" s="5"/>
      <c r="CF29" s="5"/>
      <c r="CG29" s="5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12"/>
      <c r="DD29" s="12"/>
      <c r="DE29" s="8"/>
      <c r="DF29" s="8"/>
      <c r="DG29" s="8"/>
      <c r="DH29" s="8"/>
      <c r="DI29" s="34"/>
      <c r="DJ29" s="18"/>
      <c r="DK29" s="18"/>
      <c r="DL29" s="18"/>
      <c r="DM29" s="18"/>
      <c r="DN29" s="18"/>
      <c r="DO29" s="18"/>
      <c r="DP29" s="18"/>
      <c r="DQ29" s="18"/>
      <c r="DR29" s="18"/>
      <c r="DS29" s="8"/>
      <c r="DT29" s="18"/>
      <c r="DU29" s="5"/>
      <c r="DV29" s="5"/>
      <c r="DW29" s="18"/>
      <c r="DX29" s="18"/>
      <c r="DY29" s="19"/>
      <c r="DZ29" s="34"/>
      <c r="EA29" s="34"/>
      <c r="EB29" s="34"/>
      <c r="EC29" s="34"/>
      <c r="ED29" s="34"/>
      <c r="EE29" s="34"/>
      <c r="EF29" s="34"/>
      <c r="EG29" s="34"/>
      <c r="EH29" s="34"/>
      <c r="EI29" s="8"/>
      <c r="EJ29" s="8"/>
      <c r="EK29" s="8"/>
      <c r="EL29" s="8"/>
      <c r="EM29" s="8"/>
      <c r="EN29" s="8"/>
      <c r="EU29" s="11"/>
      <c r="EV29" s="8"/>
      <c r="EW29" s="8"/>
      <c r="EX29" s="11"/>
      <c r="EY29" s="8"/>
      <c r="EZ29" s="11"/>
      <c r="FA29" s="8"/>
      <c r="FB29" s="8"/>
      <c r="FC29" s="11"/>
      <c r="FD29" s="8"/>
      <c r="FE29" s="11"/>
      <c r="FF29" s="8"/>
      <c r="FG29" s="8"/>
      <c r="FH29" s="8"/>
      <c r="FI29" s="8"/>
      <c r="FJ29" s="34"/>
      <c r="FK29" s="34"/>
      <c r="FL29" s="34"/>
      <c r="FM29" s="34"/>
      <c r="FN29" s="34"/>
      <c r="FO29" s="34"/>
      <c r="FP29" s="34"/>
      <c r="FQ29" s="34"/>
      <c r="FR29" s="8"/>
      <c r="FS29" s="5"/>
      <c r="FT29" s="5"/>
      <c r="FU29" s="5"/>
      <c r="FV29" s="11"/>
      <c r="FW29" s="8"/>
      <c r="FX29" s="8"/>
      <c r="FY29" s="8"/>
      <c r="FZ29" s="8"/>
      <c r="GA29" s="8"/>
      <c r="GB29" s="11"/>
      <c r="GC29" s="8"/>
      <c r="GD29" s="8"/>
      <c r="GE29" s="8"/>
      <c r="GF29" s="8"/>
      <c r="GG29" s="8"/>
      <c r="GH29" s="11"/>
      <c r="GI29" s="8"/>
      <c r="GJ29" s="8"/>
      <c r="GK29" s="8"/>
      <c r="GL29" s="8"/>
      <c r="GM29" s="8"/>
      <c r="GN29" s="8"/>
      <c r="GO29" s="8"/>
      <c r="GP29" s="8"/>
      <c r="GQ29" s="8"/>
      <c r="GR29" s="11"/>
      <c r="GS29" s="5"/>
      <c r="GU29" s="5"/>
      <c r="GV29" s="5"/>
      <c r="GW29" s="5"/>
      <c r="GX29" s="5"/>
      <c r="GY29" s="5"/>
      <c r="GZ29" s="5"/>
      <c r="HA29" s="5"/>
      <c r="HB29" s="5"/>
      <c r="HC29" s="34"/>
      <c r="HD29" s="34"/>
      <c r="HE29" s="34"/>
      <c r="HF29" s="34"/>
      <c r="HG29" s="34"/>
      <c r="HH29" s="34"/>
      <c r="HI29" s="8"/>
      <c r="HJ29" s="8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F29" s="183"/>
      <c r="IG29" s="5"/>
      <c r="IH29" s="5"/>
      <c r="II29" s="5"/>
      <c r="IJ29" s="5"/>
      <c r="IK29" s="5"/>
      <c r="IL29" s="5"/>
      <c r="IM29" s="5"/>
      <c r="IN29" s="5"/>
      <c r="IO29" s="5"/>
    </row>
    <row r="30" spans="1:249" ht="15" customHeight="1" x14ac:dyDescent="0.3">
      <c r="A30" s="102" t="s">
        <v>355</v>
      </c>
      <c r="B30" s="177">
        <v>49670</v>
      </c>
      <c r="C30" s="178"/>
      <c r="D30" s="179"/>
      <c r="E30" s="178"/>
      <c r="F30" s="59">
        <v>54987</v>
      </c>
      <c r="G30" s="180"/>
      <c r="H30" s="103"/>
      <c r="I30" s="80">
        <v>22458</v>
      </c>
      <c r="J30" s="180"/>
      <c r="K30" s="103"/>
      <c r="L30" s="103">
        <v>8540</v>
      </c>
      <c r="M30" s="180"/>
      <c r="N30" s="103"/>
      <c r="O30" s="103">
        <v>69910</v>
      </c>
      <c r="P30" s="181"/>
      <c r="Q30" s="52"/>
      <c r="R30" s="103">
        <f>SUM(E30:O30)</f>
        <v>155895</v>
      </c>
      <c r="S30" s="180"/>
      <c r="T30" s="103"/>
      <c r="U30" s="66">
        <f t="shared" si="14"/>
        <v>205565</v>
      </c>
      <c r="V30" s="181"/>
      <c r="W30" s="182" t="s">
        <v>354</v>
      </c>
      <c r="X30" s="78"/>
      <c r="Y30" s="126">
        <f>+(R27-R15)/R15</f>
        <v>1.4942801288781089</v>
      </c>
      <c r="Z30" s="79">
        <f>+(R29-R28)/R28</f>
        <v>4.8766979133493031E-2</v>
      </c>
      <c r="AA30" s="79">
        <f>+(U29-U28)/U28</f>
        <v>5.5314196643443551E-2</v>
      </c>
      <c r="AB30" s="126"/>
      <c r="AE30" s="8"/>
      <c r="AF30" s="8"/>
      <c r="AG30" s="8"/>
      <c r="AH30" s="34"/>
      <c r="AI30" s="8"/>
      <c r="AJ30" s="8"/>
      <c r="AK30" s="8"/>
      <c r="AL30" s="8"/>
      <c r="AM30" s="5"/>
      <c r="AN30" s="5"/>
      <c r="AO30" s="5"/>
      <c r="AP30" s="5"/>
      <c r="AQ30" s="8"/>
      <c r="AR30" s="187"/>
      <c r="AS30" s="8"/>
      <c r="AT30" s="8"/>
      <c r="AU30" s="8"/>
      <c r="AV30" s="8"/>
      <c r="AW30" s="8"/>
      <c r="AX30" s="8"/>
      <c r="AY30" s="6"/>
      <c r="AZ30" s="93"/>
      <c r="BA30" s="71"/>
      <c r="BB30" s="71"/>
      <c r="BC30" s="6"/>
      <c r="BD30" s="8"/>
      <c r="BE30" s="8"/>
      <c r="BF30" s="8"/>
      <c r="BG30" s="8"/>
      <c r="BH30" s="8"/>
      <c r="BI30" s="8"/>
      <c r="BJ30" s="5"/>
      <c r="BK30" s="5"/>
      <c r="BL30" s="34"/>
      <c r="BM30" s="8"/>
      <c r="BN30" s="8"/>
      <c r="BO30" s="8"/>
      <c r="BP30" s="8"/>
      <c r="BQ30" s="8"/>
      <c r="BR30" s="8"/>
      <c r="BS30" s="8"/>
      <c r="BT30" s="11"/>
      <c r="BU30" s="8"/>
      <c r="BV30" s="11"/>
      <c r="BW30" s="8"/>
      <c r="BX30" s="8"/>
      <c r="BY30" s="8"/>
      <c r="BZ30" s="8"/>
      <c r="CA30" s="8"/>
      <c r="CB30" s="8"/>
      <c r="CC30" s="8"/>
      <c r="CD30" s="34"/>
      <c r="CE30" s="5"/>
      <c r="CF30" s="5"/>
      <c r="CG30" s="5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11"/>
      <c r="DT30" s="18"/>
      <c r="DU30" s="5"/>
      <c r="DV30" s="5"/>
      <c r="DW30" s="18"/>
      <c r="DX30" s="18"/>
      <c r="DY30" s="19"/>
      <c r="DZ30" s="34"/>
      <c r="EA30" s="34"/>
      <c r="EB30" s="34"/>
      <c r="EC30" s="34"/>
      <c r="ED30" s="34"/>
      <c r="EE30" s="34"/>
      <c r="EF30" s="34"/>
      <c r="EG30" s="34"/>
      <c r="EH30" s="34"/>
      <c r="EI30" s="8"/>
      <c r="EJ30" s="8"/>
      <c r="EK30" s="8"/>
      <c r="EL30" s="8"/>
      <c r="EM30" s="8"/>
      <c r="EN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34"/>
      <c r="FK30" s="34"/>
      <c r="FL30" s="34"/>
      <c r="FM30" s="34"/>
      <c r="FN30" s="34"/>
      <c r="FO30" s="34"/>
      <c r="FP30" s="34"/>
      <c r="FQ30" s="34"/>
      <c r="FR30" s="8"/>
      <c r="FS30" s="5"/>
      <c r="FT30" s="5"/>
      <c r="FU30" s="5"/>
      <c r="FV30" s="8"/>
      <c r="FW30" s="8"/>
      <c r="FX30" s="8"/>
      <c r="FY30" s="8"/>
      <c r="FZ30" s="8"/>
      <c r="GA30" s="8"/>
      <c r="GB30" s="11"/>
      <c r="GC30" s="8"/>
      <c r="GD30" s="8"/>
      <c r="GE30" s="8"/>
      <c r="GF30" s="8"/>
      <c r="GG30" s="8"/>
      <c r="GH30" s="11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5"/>
      <c r="GU30" s="5"/>
      <c r="GV30" s="5"/>
      <c r="GW30" s="5"/>
      <c r="GX30" s="5"/>
      <c r="GY30" s="5"/>
      <c r="GZ30" s="5"/>
      <c r="HA30" s="5"/>
      <c r="HB30" s="5"/>
      <c r="HC30" s="34"/>
      <c r="HD30" s="34"/>
      <c r="HE30" s="34"/>
      <c r="HF30" s="34"/>
      <c r="HG30" s="34"/>
      <c r="HH30" s="34"/>
      <c r="HI30" s="34"/>
      <c r="HJ30" s="8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F30" s="183"/>
      <c r="IG30" s="5"/>
      <c r="IH30" s="5"/>
      <c r="II30" s="5"/>
      <c r="IJ30" s="5"/>
      <c r="IK30" s="5"/>
      <c r="IL30" s="5"/>
      <c r="IM30" s="5"/>
      <c r="IN30" s="5"/>
      <c r="IO30" s="5"/>
    </row>
    <row r="31" spans="1:249" ht="15" customHeight="1" x14ac:dyDescent="0.3">
      <c r="A31" s="102" t="s">
        <v>363</v>
      </c>
      <c r="B31" s="177">
        <v>50490</v>
      </c>
      <c r="C31" s="178"/>
      <c r="D31" s="179"/>
      <c r="E31" s="178"/>
      <c r="F31" s="59">
        <v>60825</v>
      </c>
      <c r="G31" s="180"/>
      <c r="H31" s="103"/>
      <c r="I31" s="80">
        <v>21069</v>
      </c>
      <c r="J31" s="180"/>
      <c r="K31" s="103"/>
      <c r="L31" s="103">
        <v>8143</v>
      </c>
      <c r="M31" s="180"/>
      <c r="N31" s="103"/>
      <c r="O31" s="103">
        <v>68672</v>
      </c>
      <c r="P31" s="181"/>
      <c r="Q31" s="52"/>
      <c r="R31" s="103">
        <v>158709</v>
      </c>
      <c r="S31" s="180"/>
      <c r="T31" s="103"/>
      <c r="U31" s="66">
        <f t="shared" si="14"/>
        <v>209199</v>
      </c>
      <c r="V31" s="181"/>
      <c r="W31" s="182" t="s">
        <v>362</v>
      </c>
      <c r="X31" s="78"/>
      <c r="Y31" s="126"/>
      <c r="Z31" s="79"/>
      <c r="AA31" s="79"/>
      <c r="AB31" s="126"/>
      <c r="AE31" s="8"/>
      <c r="AF31" s="8"/>
      <c r="AG31" s="8"/>
      <c r="AH31" s="34"/>
      <c r="AI31" s="8"/>
      <c r="AJ31" s="8"/>
      <c r="AK31" s="8"/>
      <c r="AL31" s="8"/>
      <c r="AM31" s="5"/>
      <c r="AN31" s="5"/>
      <c r="AO31" s="5"/>
      <c r="AP31" s="5"/>
      <c r="AQ31" s="8"/>
      <c r="AR31" s="187"/>
      <c r="AS31" s="8"/>
      <c r="AT31" s="8"/>
      <c r="AU31" s="8"/>
      <c r="AV31" s="8"/>
      <c r="AW31" s="8"/>
      <c r="AX31" s="8"/>
      <c r="AY31" s="11"/>
      <c r="AZ31" s="93"/>
      <c r="BA31" s="71"/>
      <c r="BB31" s="71"/>
      <c r="BC31" s="11"/>
      <c r="BD31" s="8"/>
      <c r="BE31" s="8"/>
      <c r="BF31" s="8"/>
      <c r="BG31" s="8"/>
      <c r="BH31" s="8"/>
      <c r="BI31" s="8"/>
      <c r="BJ31" s="5"/>
      <c r="BK31" s="5"/>
      <c r="BL31" s="34"/>
      <c r="BM31" s="8"/>
      <c r="BN31" s="8"/>
      <c r="BO31" s="8"/>
      <c r="BP31" s="8"/>
      <c r="BQ31" s="8"/>
      <c r="BR31" s="8"/>
      <c r="BS31" s="8"/>
      <c r="BT31" s="11"/>
      <c r="BU31" s="8"/>
      <c r="BV31" s="11"/>
      <c r="BW31" s="8"/>
      <c r="BX31" s="8"/>
      <c r="BY31" s="8"/>
      <c r="BZ31" s="8"/>
      <c r="CA31" s="8"/>
      <c r="CB31" s="8"/>
      <c r="CC31" s="8"/>
      <c r="CD31" s="34"/>
      <c r="CE31" s="5"/>
      <c r="CF31" s="5"/>
      <c r="CG31" s="5"/>
      <c r="CH31" s="71"/>
      <c r="CI31" s="71"/>
      <c r="CJ31" s="71"/>
      <c r="CK31" s="71"/>
      <c r="CL31" s="71"/>
      <c r="CM31" s="71"/>
      <c r="CN31" s="72"/>
      <c r="CO31" s="71"/>
      <c r="CP31" s="71"/>
      <c r="CQ31" s="1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12"/>
      <c r="DD31" s="12"/>
      <c r="DE31" s="8"/>
      <c r="DF31" s="8"/>
      <c r="DG31" s="8"/>
      <c r="DH31" s="8"/>
      <c r="DI31" s="34"/>
      <c r="DJ31" s="18"/>
      <c r="DK31" s="18"/>
      <c r="DL31" s="18"/>
      <c r="DM31" s="18"/>
      <c r="DN31" s="18"/>
      <c r="DO31" s="18"/>
      <c r="DP31" s="18"/>
      <c r="DQ31" s="18"/>
      <c r="DR31" s="18"/>
      <c r="DS31" s="8"/>
      <c r="DT31" s="18"/>
      <c r="DU31" s="5"/>
      <c r="DV31" s="5"/>
      <c r="DW31" s="18"/>
      <c r="DX31" s="18"/>
      <c r="DY31" s="18"/>
      <c r="DZ31" s="34"/>
      <c r="EA31" s="34"/>
      <c r="EB31" s="34"/>
      <c r="EC31" s="34"/>
      <c r="ED31" s="34"/>
      <c r="EE31" s="34"/>
      <c r="EF31" s="34"/>
      <c r="EG31" s="34"/>
      <c r="EH31" s="34"/>
      <c r="EI31" s="8"/>
      <c r="EJ31" s="8"/>
      <c r="EK31" s="8"/>
      <c r="EL31" s="8"/>
      <c r="EM31" s="8"/>
      <c r="EN31" s="8"/>
      <c r="EU31" s="8"/>
      <c r="EV31" s="8"/>
      <c r="EW31" s="8"/>
      <c r="EX31" s="8"/>
      <c r="EY31" s="8"/>
      <c r="EZ31" s="8"/>
      <c r="FA31" s="8"/>
      <c r="FB31" s="8"/>
      <c r="FC31" s="11"/>
      <c r="FD31" s="8"/>
      <c r="FE31" s="19"/>
      <c r="FF31" s="8"/>
      <c r="FG31" s="8"/>
      <c r="FH31" s="8"/>
      <c r="FI31" s="8"/>
      <c r="FJ31" s="34"/>
      <c r="FK31" s="34"/>
      <c r="FL31" s="34"/>
      <c r="FM31" s="34"/>
      <c r="FN31" s="34"/>
      <c r="FO31" s="34"/>
      <c r="FP31" s="34"/>
      <c r="FQ31" s="34"/>
      <c r="FR31" s="8"/>
      <c r="FS31" s="5"/>
      <c r="FT31" s="5"/>
      <c r="FU31" s="5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5"/>
      <c r="GT31" s="8"/>
      <c r="GU31" s="5"/>
      <c r="GV31" s="5"/>
      <c r="GW31" s="5"/>
      <c r="GX31" s="5"/>
      <c r="GY31" s="5"/>
      <c r="GZ31" s="5"/>
      <c r="HA31" s="5"/>
      <c r="HB31" s="5"/>
      <c r="HC31" s="34"/>
      <c r="HD31" s="34"/>
      <c r="HE31" s="34"/>
      <c r="HF31" s="34"/>
      <c r="HG31" s="34"/>
      <c r="HH31" s="34"/>
      <c r="HI31" s="11"/>
      <c r="HJ31" s="8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F31" s="183"/>
      <c r="IG31" s="5"/>
      <c r="IH31" s="5"/>
      <c r="II31" s="5"/>
      <c r="IJ31" s="5"/>
      <c r="IK31" s="5"/>
      <c r="IL31" s="5"/>
      <c r="IM31" s="5"/>
      <c r="IN31" s="5"/>
      <c r="IO31" s="5"/>
    </row>
    <row r="32" spans="1:249" ht="15" customHeight="1" x14ac:dyDescent="0.3">
      <c r="A32" s="102" t="s">
        <v>364</v>
      </c>
      <c r="B32" s="177">
        <v>50309</v>
      </c>
      <c r="C32" s="178"/>
      <c r="D32" s="179"/>
      <c r="E32" s="178"/>
      <c r="F32" s="59">
        <v>65926</v>
      </c>
      <c r="G32" s="180"/>
      <c r="H32" s="103"/>
      <c r="I32" s="80">
        <v>21215</v>
      </c>
      <c r="J32" s="180"/>
      <c r="K32" s="103"/>
      <c r="L32" s="103">
        <v>8460</v>
      </c>
      <c r="M32" s="180"/>
      <c r="N32" s="103"/>
      <c r="O32" s="103">
        <v>67925</v>
      </c>
      <c r="P32" s="181"/>
      <c r="Q32" s="52"/>
      <c r="R32" s="103">
        <v>163526</v>
      </c>
      <c r="S32" s="180"/>
      <c r="T32" s="103"/>
      <c r="U32" s="66">
        <f t="shared" si="14"/>
        <v>213835</v>
      </c>
      <c r="V32" s="181"/>
      <c r="W32" s="182" t="s">
        <v>365</v>
      </c>
      <c r="X32" s="78"/>
      <c r="Y32" s="126"/>
      <c r="Z32" s="79"/>
      <c r="AA32" s="79"/>
      <c r="AB32" s="126"/>
      <c r="AE32" s="8"/>
      <c r="AF32" s="8"/>
      <c r="AG32" s="8"/>
      <c r="AH32" s="34"/>
      <c r="AI32" s="8"/>
      <c r="AJ32" s="8"/>
      <c r="AK32" s="8"/>
      <c r="AL32" s="8"/>
      <c r="AM32" s="5"/>
      <c r="AN32" s="5"/>
      <c r="AO32" s="5"/>
      <c r="AP32" s="5"/>
      <c r="AQ32" s="8"/>
      <c r="AR32" s="187"/>
      <c r="AS32" s="8"/>
      <c r="AT32" s="8"/>
      <c r="AU32" s="8"/>
      <c r="AV32" s="8"/>
      <c r="AW32" s="8"/>
      <c r="AX32" s="8"/>
      <c r="AY32" s="11"/>
      <c r="AZ32" s="93"/>
      <c r="BA32" s="71"/>
      <c r="BB32" s="71"/>
      <c r="BC32" s="11"/>
      <c r="BD32" s="8"/>
      <c r="BE32" s="8"/>
      <c r="BF32" s="8"/>
      <c r="BG32" s="8"/>
      <c r="BH32" s="8"/>
      <c r="BI32" s="8"/>
      <c r="BJ32" s="5"/>
      <c r="BK32" s="5"/>
      <c r="BL32" s="34"/>
      <c r="BM32" s="8"/>
      <c r="BN32" s="8"/>
      <c r="BO32" s="8"/>
      <c r="BP32" s="8"/>
      <c r="BQ32" s="8"/>
      <c r="BR32" s="8"/>
      <c r="BS32" s="8"/>
      <c r="BT32" s="11"/>
      <c r="BU32" s="8"/>
      <c r="BV32" s="11"/>
      <c r="BW32" s="8"/>
      <c r="BX32" s="8"/>
      <c r="BY32" s="8"/>
      <c r="BZ32" s="8"/>
      <c r="CA32" s="8"/>
      <c r="CB32" s="8"/>
      <c r="CC32" s="8"/>
      <c r="CD32" s="34"/>
      <c r="CE32" s="8"/>
      <c r="CF32" s="8"/>
      <c r="CG32" s="8"/>
      <c r="CH32" s="71"/>
      <c r="CI32" s="71"/>
      <c r="CJ32" s="71"/>
      <c r="CK32" s="71"/>
      <c r="CL32" s="71"/>
      <c r="CM32" s="71"/>
      <c r="CN32" s="72"/>
      <c r="CO32" s="71"/>
      <c r="CP32" s="71"/>
      <c r="CQ32" s="1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12"/>
      <c r="DD32" s="12"/>
      <c r="DE32" s="8"/>
      <c r="DF32" s="8"/>
      <c r="DG32" s="8"/>
      <c r="DH32" s="8"/>
      <c r="DI32" s="34"/>
      <c r="DJ32" s="18"/>
      <c r="DK32" s="18"/>
      <c r="DL32" s="18"/>
      <c r="DM32" s="18"/>
      <c r="DN32" s="18"/>
      <c r="DO32" s="18"/>
      <c r="DP32" s="18"/>
      <c r="DQ32" s="18"/>
      <c r="DR32" s="18"/>
      <c r="DS32" s="8"/>
      <c r="DT32" s="137"/>
      <c r="DU32" s="5"/>
      <c r="DV32" s="5"/>
      <c r="DW32" s="18"/>
      <c r="DX32" s="18"/>
      <c r="DY32" s="19"/>
      <c r="DZ32" s="34"/>
      <c r="EA32" s="34"/>
      <c r="EB32" s="34"/>
      <c r="EC32" s="34"/>
      <c r="ED32" s="34"/>
      <c r="EE32" s="34"/>
      <c r="EF32" s="34"/>
      <c r="EG32" s="34"/>
      <c r="EH32" s="34"/>
      <c r="EI32" s="8"/>
      <c r="EJ32" s="8"/>
      <c r="EK32" s="8"/>
      <c r="EL32" s="8"/>
      <c r="EM32" s="8"/>
      <c r="EN32" s="8"/>
      <c r="EU32" s="8"/>
      <c r="EV32" s="8"/>
      <c r="EW32" s="11"/>
      <c r="EX32" s="8"/>
      <c r="EY32" s="8"/>
      <c r="EZ32" s="8"/>
      <c r="FA32" s="8"/>
      <c r="FB32" s="8"/>
      <c r="FC32" s="11"/>
      <c r="FD32" s="8"/>
      <c r="FE32" s="11"/>
      <c r="FF32" s="8"/>
      <c r="FG32" s="8"/>
      <c r="FH32" s="8"/>
      <c r="FI32" s="8"/>
      <c r="FJ32" s="34"/>
      <c r="FK32" s="34"/>
      <c r="FL32" s="34"/>
      <c r="FM32" s="34"/>
      <c r="FN32" s="34"/>
      <c r="FO32" s="34"/>
      <c r="FP32" s="34"/>
      <c r="FQ32" s="34"/>
      <c r="FR32" s="5"/>
      <c r="FS32" s="5"/>
      <c r="FT32" s="5"/>
      <c r="FU32" s="5"/>
      <c r="FV32" s="8"/>
      <c r="FW32" s="8"/>
      <c r="FX32" s="8"/>
      <c r="FY32" s="8"/>
      <c r="FZ32" s="8"/>
      <c r="GA32" s="8"/>
      <c r="GB32" s="11"/>
      <c r="GC32" s="8"/>
      <c r="GD32" s="8"/>
      <c r="GE32" s="8"/>
      <c r="GF32" s="8"/>
      <c r="GG32" s="8"/>
      <c r="GH32" s="11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34"/>
      <c r="HD32" s="34"/>
      <c r="HE32" s="34"/>
      <c r="HF32" s="34"/>
      <c r="HG32" s="34"/>
      <c r="HH32" s="34"/>
      <c r="HI32" s="11"/>
      <c r="HJ32" s="8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F32" s="183"/>
      <c r="IG32" s="5"/>
      <c r="IH32" s="5"/>
      <c r="II32" s="5"/>
      <c r="IJ32" s="5"/>
      <c r="IK32" s="5"/>
      <c r="IL32" s="5"/>
      <c r="IM32" s="5"/>
      <c r="IN32" s="5"/>
      <c r="IO32" s="5"/>
    </row>
    <row r="33" spans="1:249" ht="15" customHeight="1" x14ac:dyDescent="0.3">
      <c r="A33" s="102" t="s">
        <v>366</v>
      </c>
      <c r="B33" s="177">
        <v>52457</v>
      </c>
      <c r="C33" s="178"/>
      <c r="D33" s="179"/>
      <c r="E33" s="178"/>
      <c r="F33" s="59">
        <v>71178</v>
      </c>
      <c r="G33" s="180"/>
      <c r="H33" s="103"/>
      <c r="I33" s="80">
        <v>20950</v>
      </c>
      <c r="J33" s="180"/>
      <c r="K33" s="103"/>
      <c r="L33" s="103">
        <v>8588</v>
      </c>
      <c r="M33" s="180"/>
      <c r="N33" s="103"/>
      <c r="O33" s="103">
        <v>67294</v>
      </c>
      <c r="P33" s="181"/>
      <c r="Q33" s="52"/>
      <c r="R33" s="103">
        <v>168010</v>
      </c>
      <c r="S33" s="180"/>
      <c r="T33" s="103"/>
      <c r="U33" s="66">
        <f t="shared" si="14"/>
        <v>220467</v>
      </c>
      <c r="V33" s="181"/>
      <c r="W33" s="182" t="s">
        <v>367</v>
      </c>
      <c r="X33" s="78"/>
      <c r="Y33" s="126"/>
      <c r="Z33" s="79"/>
      <c r="AA33" s="79"/>
      <c r="AB33" s="126"/>
      <c r="AE33" s="8"/>
      <c r="AF33" s="8"/>
      <c r="AG33" s="8"/>
      <c r="AH33" s="34"/>
      <c r="AI33" s="8"/>
      <c r="AJ33" s="8"/>
      <c r="AK33" s="8"/>
      <c r="AL33" s="8"/>
      <c r="AM33" s="5"/>
      <c r="AN33" s="5"/>
      <c r="AO33" s="5"/>
      <c r="AP33" s="5"/>
      <c r="AQ33" s="8"/>
      <c r="AR33" s="187"/>
      <c r="AS33" s="8"/>
      <c r="AT33" s="8"/>
      <c r="AU33" s="8"/>
      <c r="AV33" s="8"/>
      <c r="AW33" s="8"/>
      <c r="AX33" s="8"/>
      <c r="AY33" s="11"/>
      <c r="AZ33" s="93"/>
      <c r="BA33" s="71"/>
      <c r="BB33" s="71"/>
      <c r="BC33" s="11"/>
      <c r="BD33" s="8"/>
      <c r="BE33" s="8"/>
      <c r="BF33" s="8"/>
      <c r="BG33" s="8"/>
      <c r="BH33" s="8"/>
      <c r="BI33" s="8"/>
      <c r="BJ33" s="5"/>
      <c r="BK33" s="5"/>
      <c r="BL33" s="34"/>
      <c r="BM33" s="8"/>
      <c r="BN33" s="8"/>
      <c r="BO33" s="8"/>
      <c r="BP33" s="8"/>
      <c r="BQ33" s="8"/>
      <c r="BR33" s="8"/>
      <c r="BS33" s="8"/>
      <c r="BT33" s="11"/>
      <c r="BU33" s="8"/>
      <c r="BV33" s="11"/>
      <c r="BW33" s="8"/>
      <c r="BX33" s="8"/>
      <c r="BY33" s="8"/>
      <c r="BZ33" s="8"/>
      <c r="CA33" s="8"/>
      <c r="CB33" s="8"/>
      <c r="CC33" s="8"/>
      <c r="CD33" s="34"/>
      <c r="CE33" s="8"/>
      <c r="CF33" s="8"/>
      <c r="CG33" s="8"/>
      <c r="CH33" s="71"/>
      <c r="CI33" s="71"/>
      <c r="CJ33" s="71"/>
      <c r="CK33" s="71"/>
      <c r="CL33" s="71"/>
      <c r="CM33" s="71"/>
      <c r="CN33" s="72"/>
      <c r="CO33" s="71"/>
      <c r="CP33" s="71"/>
      <c r="CQ33" s="1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12"/>
      <c r="DD33" s="12"/>
      <c r="DE33" s="8"/>
      <c r="DF33" s="8"/>
      <c r="DG33" s="8"/>
      <c r="DH33" s="8"/>
      <c r="DI33" s="34"/>
      <c r="DJ33" s="18"/>
      <c r="DK33" s="18"/>
      <c r="DL33" s="18"/>
      <c r="DM33" s="18"/>
      <c r="DN33" s="18"/>
      <c r="DO33" s="18"/>
      <c r="DP33" s="18"/>
      <c r="DQ33" s="18"/>
      <c r="DR33" s="18"/>
      <c r="DS33" s="8"/>
      <c r="DT33" s="137"/>
      <c r="DU33" s="5"/>
      <c r="DV33" s="5"/>
      <c r="DW33" s="18"/>
      <c r="DX33" s="18"/>
      <c r="DY33" s="19"/>
      <c r="DZ33" s="34"/>
      <c r="EA33" s="34"/>
      <c r="EB33" s="34"/>
      <c r="EC33" s="34"/>
      <c r="ED33" s="34"/>
      <c r="EE33" s="34"/>
      <c r="EF33" s="34"/>
      <c r="EG33" s="34"/>
      <c r="EH33" s="34"/>
      <c r="EI33" s="8"/>
      <c r="EJ33" s="8"/>
      <c r="EK33" s="8"/>
      <c r="EL33" s="8"/>
      <c r="EM33" s="8"/>
      <c r="EN33" s="8"/>
      <c r="EU33" s="8"/>
      <c r="EV33" s="8"/>
      <c r="EW33" s="11"/>
      <c r="EX33" s="8"/>
      <c r="EY33" s="8"/>
      <c r="EZ33" s="8"/>
      <c r="FA33" s="8"/>
      <c r="FB33" s="8"/>
      <c r="FC33" s="11"/>
      <c r="FD33" s="8"/>
      <c r="FE33" s="11"/>
      <c r="FF33" s="8"/>
      <c r="FG33" s="8"/>
      <c r="FH33" s="8"/>
      <c r="FI33" s="8"/>
      <c r="FJ33" s="34"/>
      <c r="FK33" s="34"/>
      <c r="FL33" s="34"/>
      <c r="FM33" s="34"/>
      <c r="FN33" s="34"/>
      <c r="FO33" s="34"/>
      <c r="FP33" s="34"/>
      <c r="FQ33" s="34"/>
      <c r="FR33" s="5"/>
      <c r="FS33" s="5"/>
      <c r="FT33" s="5"/>
      <c r="FU33" s="5"/>
      <c r="FV33" s="8"/>
      <c r="FW33" s="8"/>
      <c r="FX33" s="8"/>
      <c r="FY33" s="8"/>
      <c r="FZ33" s="8"/>
      <c r="GA33" s="8"/>
      <c r="GB33" s="11"/>
      <c r="GC33" s="8"/>
      <c r="GD33" s="8"/>
      <c r="GE33" s="8"/>
      <c r="GF33" s="8"/>
      <c r="GG33" s="8"/>
      <c r="GH33" s="11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34"/>
      <c r="HD33" s="34"/>
      <c r="HE33" s="34"/>
      <c r="HF33" s="34"/>
      <c r="HG33" s="34"/>
      <c r="HH33" s="34"/>
      <c r="HI33" s="11"/>
      <c r="HJ33" s="8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F33" s="183"/>
      <c r="IG33" s="5"/>
      <c r="IH33" s="5"/>
      <c r="II33" s="5"/>
      <c r="IJ33" s="5"/>
      <c r="IK33" s="5"/>
      <c r="IL33" s="5"/>
      <c r="IM33" s="5"/>
      <c r="IN33" s="5"/>
      <c r="IO33" s="5"/>
    </row>
    <row r="34" spans="1:249" ht="15" customHeight="1" x14ac:dyDescent="0.3">
      <c r="A34" s="102" t="s">
        <v>369</v>
      </c>
      <c r="B34" s="177">
        <f>+'[1]T3.1 (2)'!B42</f>
        <v>54440</v>
      </c>
      <c r="C34" s="178">
        <f>+'[1]T3.1 (2)'!C42</f>
        <v>0</v>
      </c>
      <c r="D34" s="179">
        <f>+'[1]T3.1 (2)'!D42</f>
        <v>0</v>
      </c>
      <c r="E34" s="178"/>
      <c r="F34" s="59">
        <f>+'[1]T3.1 (2)'!F42</f>
        <v>77526</v>
      </c>
      <c r="G34" s="180">
        <f>+'[1]T3.1 (2)'!G42</f>
        <v>0</v>
      </c>
      <c r="H34" s="103">
        <f>+'[1]T3.1 (2)'!H42</f>
        <v>0</v>
      </c>
      <c r="I34" s="80">
        <f>+'[1]T3.1 (2)'!I42</f>
        <v>18898</v>
      </c>
      <c r="J34" s="180">
        <f>+'[1]T3.1 (2)'!J42</f>
        <v>0</v>
      </c>
      <c r="K34" s="103">
        <f>+'[1]T3.1 (2)'!K42</f>
        <v>0</v>
      </c>
      <c r="L34" s="103">
        <f>+'[1]T3.1 (2)'!L42</f>
        <v>8694</v>
      </c>
      <c r="M34" s="180">
        <f>+'[1]T3.1 (2)'!M42</f>
        <v>0</v>
      </c>
      <c r="N34" s="103">
        <f>+'[1]T3.1 (2)'!N42</f>
        <v>0</v>
      </c>
      <c r="O34" s="103">
        <f>+'[1]T3.1 (2)'!O42</f>
        <v>66743</v>
      </c>
      <c r="P34" s="181">
        <f>+'[1]T3.1 (2)'!P42</f>
        <v>0</v>
      </c>
      <c r="Q34" s="52">
        <f>+'[1]T3.1 (2)'!Q42</f>
        <v>0</v>
      </c>
      <c r="R34" s="103">
        <f>+'[1]T3.1 (2)'!R42</f>
        <v>171861</v>
      </c>
      <c r="S34" s="180"/>
      <c r="T34" s="103"/>
      <c r="U34" s="66">
        <f t="shared" si="14"/>
        <v>226301</v>
      </c>
      <c r="V34" s="181"/>
      <c r="W34" s="182" t="s">
        <v>368</v>
      </c>
      <c r="X34" s="78"/>
      <c r="Y34" s="126"/>
      <c r="Z34" s="79"/>
      <c r="AA34" s="79"/>
      <c r="AB34" s="126"/>
      <c r="AE34" s="8"/>
      <c r="AF34" s="8"/>
      <c r="AG34" s="8"/>
      <c r="AH34" s="34"/>
      <c r="AI34" s="8"/>
      <c r="AJ34" s="8"/>
      <c r="AK34" s="8"/>
      <c r="AL34" s="8"/>
      <c r="AM34" s="5"/>
      <c r="AN34" s="5"/>
      <c r="AO34" s="5"/>
      <c r="AP34" s="5"/>
      <c r="AQ34" s="8"/>
      <c r="AR34" s="187"/>
      <c r="AS34" s="8"/>
      <c r="AT34" s="8"/>
      <c r="AU34" s="8"/>
      <c r="AV34" s="8"/>
      <c r="AW34" s="8"/>
      <c r="AX34" s="8"/>
      <c r="AY34" s="11"/>
      <c r="AZ34" s="93"/>
      <c r="BA34" s="71"/>
      <c r="BB34" s="71"/>
      <c r="BC34" s="11"/>
      <c r="BD34" s="8"/>
      <c r="BE34" s="8"/>
      <c r="BF34" s="8"/>
      <c r="BG34" s="8"/>
      <c r="BH34" s="8"/>
      <c r="BI34" s="8"/>
      <c r="BJ34" s="5"/>
      <c r="BK34" s="5"/>
      <c r="BL34" s="34"/>
      <c r="BM34" s="8"/>
      <c r="BN34" s="8"/>
      <c r="BO34" s="8"/>
      <c r="BP34" s="8"/>
      <c r="BQ34" s="8"/>
      <c r="BR34" s="8"/>
      <c r="BS34" s="8"/>
      <c r="BT34" s="11"/>
      <c r="BU34" s="8"/>
      <c r="BV34" s="11"/>
      <c r="BW34" s="8"/>
      <c r="BX34" s="8"/>
      <c r="BY34" s="8"/>
      <c r="BZ34" s="8"/>
      <c r="CA34" s="8"/>
      <c r="CB34" s="8"/>
      <c r="CC34" s="8"/>
      <c r="CD34" s="34"/>
      <c r="CE34" s="8"/>
      <c r="CF34" s="8"/>
      <c r="CG34" s="8"/>
      <c r="CH34" s="71"/>
      <c r="CI34" s="71"/>
      <c r="CJ34" s="71"/>
      <c r="CK34" s="71"/>
      <c r="CL34" s="71"/>
      <c r="CM34" s="71"/>
      <c r="CN34" s="72"/>
      <c r="CO34" s="71"/>
      <c r="CP34" s="71"/>
      <c r="CQ34" s="1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12"/>
      <c r="DD34" s="12"/>
      <c r="DE34" s="8"/>
      <c r="DF34" s="8"/>
      <c r="DG34" s="8"/>
      <c r="DH34" s="8"/>
      <c r="DI34" s="34"/>
      <c r="DJ34" s="18"/>
      <c r="DK34" s="18"/>
      <c r="DL34" s="18"/>
      <c r="DM34" s="18"/>
      <c r="DN34" s="18"/>
      <c r="DO34" s="18"/>
      <c r="DP34" s="18"/>
      <c r="DQ34" s="18"/>
      <c r="DR34" s="18"/>
      <c r="DS34" s="8"/>
      <c r="DT34" s="18"/>
      <c r="DU34" s="5"/>
      <c r="DV34" s="5"/>
      <c r="DW34" s="18"/>
      <c r="DX34" s="18"/>
      <c r="DY34" s="19"/>
      <c r="DZ34" s="34"/>
      <c r="EA34" s="34"/>
      <c r="EB34" s="34"/>
      <c r="EC34" s="34"/>
      <c r="ED34" s="34"/>
      <c r="EE34" s="34"/>
      <c r="EF34" s="34"/>
      <c r="EG34" s="34"/>
      <c r="EH34" s="34"/>
      <c r="EI34" s="8"/>
      <c r="EJ34" s="8"/>
      <c r="EK34" s="8"/>
      <c r="EL34" s="8"/>
      <c r="EM34" s="8"/>
      <c r="EN34" s="8"/>
      <c r="EU34" s="8"/>
      <c r="EV34" s="8"/>
      <c r="EW34" s="11"/>
      <c r="EX34" s="8"/>
      <c r="EY34" s="8"/>
      <c r="EZ34" s="8"/>
      <c r="FA34" s="8"/>
      <c r="FB34" s="8"/>
      <c r="FC34" s="11"/>
      <c r="FD34" s="8"/>
      <c r="FE34" s="11"/>
      <c r="FF34" s="8"/>
      <c r="FG34" s="8"/>
      <c r="FH34" s="8"/>
      <c r="FI34" s="8"/>
      <c r="FJ34" s="34"/>
      <c r="FK34" s="34"/>
      <c r="FL34" s="34"/>
      <c r="FM34" s="34"/>
      <c r="FN34" s="34"/>
      <c r="FO34" s="34"/>
      <c r="FP34" s="34"/>
      <c r="FQ34" s="34"/>
      <c r="FR34" s="5"/>
      <c r="FS34" s="5"/>
      <c r="FT34" s="5"/>
      <c r="FU34" s="5"/>
      <c r="FV34" s="8"/>
      <c r="FW34" s="8"/>
      <c r="FX34" s="8"/>
      <c r="FY34" s="8"/>
      <c r="FZ34" s="8"/>
      <c r="GA34" s="8"/>
      <c r="GB34" s="11"/>
      <c r="GC34" s="8"/>
      <c r="GD34" s="8"/>
      <c r="GE34" s="8"/>
      <c r="GF34" s="8"/>
      <c r="GG34" s="8"/>
      <c r="GH34" s="11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34"/>
      <c r="HD34" s="34"/>
      <c r="HE34" s="34"/>
      <c r="HF34" s="34"/>
      <c r="HG34" s="34"/>
      <c r="HH34" s="34"/>
      <c r="HI34" s="11"/>
      <c r="HJ34" s="8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F34" s="183"/>
      <c r="IG34" s="5"/>
      <c r="IH34" s="5"/>
      <c r="II34" s="5"/>
      <c r="IJ34" s="5"/>
      <c r="IK34" s="5"/>
      <c r="IL34" s="5"/>
      <c r="IM34" s="5"/>
      <c r="IN34" s="5"/>
      <c r="IO34" s="5"/>
    </row>
    <row r="35" spans="1:249" ht="15" customHeight="1" x14ac:dyDescent="0.3">
      <c r="A35" s="102" t="s">
        <v>370</v>
      </c>
      <c r="B35" s="177">
        <f>47237+10567+1204</f>
        <v>59008</v>
      </c>
      <c r="C35" s="178"/>
      <c r="D35" s="179"/>
      <c r="E35" s="178"/>
      <c r="F35" s="59">
        <v>83371</v>
      </c>
      <c r="G35" s="180"/>
      <c r="H35" s="103"/>
      <c r="I35" s="80">
        <v>20100</v>
      </c>
      <c r="J35" s="180"/>
      <c r="K35" s="103"/>
      <c r="L35" s="103">
        <v>8526</v>
      </c>
      <c r="M35" s="180"/>
      <c r="N35" s="103"/>
      <c r="O35" s="103">
        <v>66742</v>
      </c>
      <c r="P35" s="181"/>
      <c r="Q35" s="52"/>
      <c r="R35" s="103">
        <v>178739</v>
      </c>
      <c r="S35" s="180"/>
      <c r="T35" s="103"/>
      <c r="U35" s="66">
        <f t="shared" si="14"/>
        <v>237747</v>
      </c>
      <c r="V35" s="181"/>
      <c r="W35" s="182" t="s">
        <v>372</v>
      </c>
      <c r="X35" s="78"/>
      <c r="Y35" s="126"/>
      <c r="Z35" s="79"/>
      <c r="AA35" s="79"/>
      <c r="AB35" s="126"/>
      <c r="AE35" s="8"/>
      <c r="AF35" s="8"/>
      <c r="AG35" s="8"/>
      <c r="AH35" s="34"/>
      <c r="AI35" s="8"/>
      <c r="AJ35" s="8"/>
      <c r="AK35" s="8"/>
      <c r="AL35" s="8"/>
      <c r="AM35" s="5"/>
      <c r="AN35" s="5"/>
      <c r="AO35" s="5"/>
      <c r="AP35" s="5"/>
      <c r="AQ35" s="8"/>
      <c r="AR35" s="187"/>
      <c r="AS35" s="8"/>
      <c r="AT35" s="8"/>
      <c r="AU35" s="8"/>
      <c r="AV35" s="8"/>
      <c r="AW35" s="8"/>
      <c r="AX35" s="8"/>
      <c r="AY35" s="11"/>
      <c r="AZ35" s="93"/>
      <c r="BA35" s="71"/>
      <c r="BB35" s="71"/>
      <c r="BC35" s="11"/>
      <c r="BD35" s="8"/>
      <c r="BE35" s="8"/>
      <c r="BF35" s="8"/>
      <c r="BG35" s="8"/>
      <c r="BH35" s="8"/>
      <c r="BI35" s="8"/>
      <c r="BJ35" s="5"/>
      <c r="BK35" s="5"/>
      <c r="BL35" s="34"/>
      <c r="BM35" s="8"/>
      <c r="BN35" s="8"/>
      <c r="BO35" s="8"/>
      <c r="BP35" s="8"/>
      <c r="BQ35" s="8"/>
      <c r="BR35" s="8"/>
      <c r="BS35" s="8"/>
      <c r="BT35" s="11"/>
      <c r="BU35" s="8"/>
      <c r="BV35" s="11"/>
      <c r="BW35" s="8"/>
      <c r="BX35" s="8"/>
      <c r="BY35" s="8"/>
      <c r="BZ35" s="8"/>
      <c r="CA35" s="8"/>
      <c r="CB35" s="8"/>
      <c r="CC35" s="8"/>
      <c r="CD35" s="34"/>
      <c r="CE35" s="8"/>
      <c r="CF35" s="8"/>
      <c r="CG35" s="8"/>
      <c r="CH35" s="71"/>
      <c r="CI35" s="71"/>
      <c r="CJ35" s="71"/>
      <c r="CK35" s="71"/>
      <c r="CL35" s="71"/>
      <c r="CM35" s="71"/>
      <c r="CN35" s="72"/>
      <c r="CO35" s="71"/>
      <c r="CP35" s="71"/>
      <c r="CQ35" s="1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12"/>
      <c r="DD35" s="12"/>
      <c r="DE35" s="8"/>
      <c r="DF35" s="8"/>
      <c r="DG35" s="8"/>
      <c r="DH35" s="8"/>
      <c r="DI35" s="34"/>
      <c r="DJ35" s="18"/>
      <c r="DK35" s="18"/>
      <c r="DL35" s="18"/>
      <c r="DM35" s="18"/>
      <c r="DN35" s="18"/>
      <c r="DO35" s="18"/>
      <c r="DP35" s="18"/>
      <c r="DQ35" s="18"/>
      <c r="DR35" s="18"/>
      <c r="DS35" s="8"/>
      <c r="DT35" s="18"/>
      <c r="DU35" s="5"/>
      <c r="DV35" s="5"/>
      <c r="DW35" s="18"/>
      <c r="DX35" s="18"/>
      <c r="DY35" s="19"/>
      <c r="DZ35" s="34"/>
      <c r="EA35" s="34"/>
      <c r="EB35" s="34"/>
      <c r="EC35" s="34"/>
      <c r="ED35" s="34"/>
      <c r="EE35" s="34"/>
      <c r="EF35" s="34"/>
      <c r="EG35" s="34"/>
      <c r="EH35" s="34"/>
      <c r="EI35" s="8"/>
      <c r="EJ35" s="8"/>
      <c r="EK35" s="8"/>
      <c r="EL35" s="8"/>
      <c r="EM35" s="8"/>
      <c r="EN35" s="8"/>
      <c r="EU35" s="8"/>
      <c r="EV35" s="8"/>
      <c r="EW35" s="11"/>
      <c r="EX35" s="8"/>
      <c r="EY35" s="8"/>
      <c r="EZ35" s="8"/>
      <c r="FA35" s="8"/>
      <c r="FB35" s="8"/>
      <c r="FC35" s="11"/>
      <c r="FD35" s="8"/>
      <c r="FE35" s="11"/>
      <c r="FF35" s="8"/>
      <c r="FG35" s="8"/>
      <c r="FH35" s="8"/>
      <c r="FI35" s="8"/>
      <c r="FJ35" s="34"/>
      <c r="FK35" s="34"/>
      <c r="FL35" s="34"/>
      <c r="FM35" s="34"/>
      <c r="FN35" s="34"/>
      <c r="FO35" s="34"/>
      <c r="FP35" s="34"/>
      <c r="FQ35" s="34"/>
      <c r="FR35" s="5"/>
      <c r="FS35" s="5"/>
      <c r="FT35" s="5"/>
      <c r="FU35" s="5"/>
      <c r="FV35" s="8"/>
      <c r="FW35" s="8"/>
      <c r="FX35" s="8"/>
      <c r="FY35" s="8"/>
      <c r="FZ35" s="8"/>
      <c r="GA35" s="8"/>
      <c r="GB35" s="11"/>
      <c r="GC35" s="8"/>
      <c r="GD35" s="8"/>
      <c r="GE35" s="8"/>
      <c r="GF35" s="8"/>
      <c r="GG35" s="8"/>
      <c r="GH35" s="11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34"/>
      <c r="HD35" s="34"/>
      <c r="HE35" s="34"/>
      <c r="HF35" s="34"/>
      <c r="HG35" s="34"/>
      <c r="HH35" s="34"/>
      <c r="HI35" s="11"/>
      <c r="HJ35" s="8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F35" s="183"/>
      <c r="IG35" s="5"/>
      <c r="IH35" s="5"/>
      <c r="II35" s="5"/>
      <c r="IJ35" s="5"/>
      <c r="IK35" s="5"/>
      <c r="IL35" s="5"/>
      <c r="IM35" s="5"/>
      <c r="IN35" s="5"/>
      <c r="IO35" s="5"/>
    </row>
    <row r="36" spans="1:249" ht="15" customHeight="1" x14ac:dyDescent="0.3">
      <c r="A36" s="102" t="s">
        <v>371</v>
      </c>
      <c r="B36" s="177">
        <f>50765+10590+1207</f>
        <v>62562</v>
      </c>
      <c r="C36" s="178"/>
      <c r="D36" s="179"/>
      <c r="E36" s="178"/>
      <c r="F36" s="59">
        <v>87409</v>
      </c>
      <c r="G36" s="180"/>
      <c r="H36" s="103"/>
      <c r="I36" s="80">
        <v>20826</v>
      </c>
      <c r="J36" s="180"/>
      <c r="K36" s="103"/>
      <c r="L36" s="103">
        <v>8506</v>
      </c>
      <c r="M36" s="180"/>
      <c r="N36" s="103"/>
      <c r="O36" s="103">
        <v>66416</v>
      </c>
      <c r="P36" s="181"/>
      <c r="Q36" s="52"/>
      <c r="R36" s="103">
        <v>183157</v>
      </c>
      <c r="S36" s="180"/>
      <c r="T36" s="103"/>
      <c r="U36" s="66">
        <f t="shared" si="14"/>
        <v>245719</v>
      </c>
      <c r="V36" s="181"/>
      <c r="W36" s="182" t="s">
        <v>373</v>
      </c>
      <c r="X36" s="78"/>
      <c r="Y36" s="126"/>
      <c r="Z36" s="79"/>
      <c r="AA36" s="79"/>
      <c r="AB36" s="126"/>
      <c r="AE36" s="8"/>
      <c r="AF36" s="8"/>
      <c r="AG36" s="8"/>
      <c r="AH36" s="34"/>
      <c r="AI36" s="8"/>
      <c r="AJ36" s="8"/>
      <c r="AK36" s="8"/>
      <c r="AL36" s="8"/>
      <c r="AM36" s="5"/>
      <c r="AN36" s="5"/>
      <c r="AO36" s="5"/>
      <c r="AP36" s="5"/>
      <c r="AQ36" s="8"/>
      <c r="AR36" s="187"/>
      <c r="AS36" s="8"/>
      <c r="AT36" s="8"/>
      <c r="AU36" s="8"/>
      <c r="AV36" s="8"/>
      <c r="AW36" s="8"/>
      <c r="AX36" s="8"/>
      <c r="AY36" s="11"/>
      <c r="AZ36" s="93"/>
      <c r="BA36" s="71"/>
      <c r="BB36" s="71"/>
      <c r="BC36" s="11"/>
      <c r="BD36" s="8"/>
      <c r="BE36" s="8"/>
      <c r="BF36" s="8"/>
      <c r="BG36" s="8"/>
      <c r="BH36" s="8"/>
      <c r="BI36" s="8"/>
      <c r="BJ36" s="5"/>
      <c r="BK36" s="5"/>
      <c r="BL36" s="34"/>
      <c r="BM36" s="8"/>
      <c r="BN36" s="8"/>
      <c r="BO36" s="8"/>
      <c r="BP36" s="8"/>
      <c r="BQ36" s="8"/>
      <c r="BR36" s="8"/>
      <c r="BS36" s="8"/>
      <c r="BT36" s="11"/>
      <c r="BU36" s="8"/>
      <c r="BV36" s="11"/>
      <c r="BW36" s="8"/>
      <c r="BX36" s="8"/>
      <c r="BY36" s="8"/>
      <c r="BZ36" s="8"/>
      <c r="CA36" s="8"/>
      <c r="CB36" s="8"/>
      <c r="CC36" s="8"/>
      <c r="CD36" s="34"/>
      <c r="CE36" s="8"/>
      <c r="CF36" s="8"/>
      <c r="CG36" s="8"/>
      <c r="CH36" s="71"/>
      <c r="CI36" s="71"/>
      <c r="CJ36" s="71"/>
      <c r="CK36" s="71"/>
      <c r="CL36" s="71"/>
      <c r="CM36" s="71"/>
      <c r="CN36" s="72"/>
      <c r="CO36" s="71"/>
      <c r="CP36" s="71"/>
      <c r="CQ36" s="1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12"/>
      <c r="DD36" s="12"/>
      <c r="DE36" s="8"/>
      <c r="DF36" s="8"/>
      <c r="DG36" s="8"/>
      <c r="DH36" s="8"/>
      <c r="DI36" s="34"/>
      <c r="DJ36" s="18"/>
      <c r="DK36" s="18"/>
      <c r="DL36" s="18"/>
      <c r="DM36" s="18"/>
      <c r="DN36" s="18"/>
      <c r="DO36" s="18"/>
      <c r="DP36" s="18"/>
      <c r="DQ36" s="18"/>
      <c r="DR36" s="18"/>
      <c r="DS36" s="8"/>
      <c r="DT36" s="18"/>
      <c r="DU36" s="5"/>
      <c r="DV36" s="5"/>
      <c r="DW36" s="18"/>
      <c r="DX36" s="18"/>
      <c r="DY36" s="19"/>
      <c r="DZ36" s="34"/>
      <c r="EA36" s="34"/>
      <c r="EB36" s="34"/>
      <c r="EC36" s="34"/>
      <c r="ED36" s="34"/>
      <c r="EE36" s="34"/>
      <c r="EF36" s="34"/>
      <c r="EG36" s="34"/>
      <c r="EH36" s="34"/>
      <c r="EI36" s="8"/>
      <c r="EJ36" s="8"/>
      <c r="EK36" s="8"/>
      <c r="EL36" s="8"/>
      <c r="EM36" s="8"/>
      <c r="EN36" s="8"/>
      <c r="EU36" s="8"/>
      <c r="EV36" s="8"/>
      <c r="EW36" s="11"/>
      <c r="EX36" s="8"/>
      <c r="EY36" s="8"/>
      <c r="EZ36" s="8"/>
      <c r="FA36" s="8"/>
      <c r="FB36" s="8"/>
      <c r="FC36" s="11"/>
      <c r="FD36" s="8"/>
      <c r="FE36" s="11"/>
      <c r="FF36" s="8"/>
      <c r="FG36" s="8"/>
      <c r="FH36" s="8"/>
      <c r="FI36" s="8"/>
      <c r="FJ36" s="34"/>
      <c r="FK36" s="34"/>
      <c r="FL36" s="34"/>
      <c r="FM36" s="34"/>
      <c r="FN36" s="34"/>
      <c r="FO36" s="34"/>
      <c r="FP36" s="34"/>
      <c r="FQ36" s="34"/>
      <c r="FR36" s="5"/>
      <c r="FS36" s="5"/>
      <c r="FT36" s="5"/>
      <c r="FU36" s="5"/>
      <c r="FV36" s="8"/>
      <c r="FW36" s="8"/>
      <c r="FX36" s="8"/>
      <c r="FY36" s="8"/>
      <c r="FZ36" s="8"/>
      <c r="GA36" s="8"/>
      <c r="GB36" s="11"/>
      <c r="GC36" s="8"/>
      <c r="GD36" s="8"/>
      <c r="GE36" s="8"/>
      <c r="GF36" s="8"/>
      <c r="GG36" s="8"/>
      <c r="GH36" s="11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34"/>
      <c r="HD36" s="34"/>
      <c r="HE36" s="34"/>
      <c r="HF36" s="34"/>
      <c r="HG36" s="34"/>
      <c r="HH36" s="34"/>
      <c r="HI36" s="11"/>
      <c r="HJ36" s="8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F36" s="183"/>
      <c r="IG36" s="5"/>
      <c r="IH36" s="5"/>
      <c r="II36" s="5"/>
      <c r="IJ36" s="5"/>
      <c r="IK36" s="5"/>
      <c r="IL36" s="5"/>
      <c r="IM36" s="5"/>
      <c r="IN36" s="5"/>
      <c r="IO36" s="5"/>
    </row>
    <row r="37" spans="1:249" ht="15" customHeight="1" x14ac:dyDescent="0.3">
      <c r="A37" s="102" t="s">
        <v>375</v>
      </c>
      <c r="B37" s="177">
        <f>39072+10615+1251+763+1871+7522+3440</f>
        <v>64534</v>
      </c>
      <c r="C37" s="178"/>
      <c r="D37" s="179"/>
      <c r="E37" s="178"/>
      <c r="F37" s="59">
        <v>91665</v>
      </c>
      <c r="G37" s="180"/>
      <c r="H37" s="103"/>
      <c r="I37" s="80">
        <v>21953</v>
      </c>
      <c r="J37" s="180"/>
      <c r="K37" s="103"/>
      <c r="L37" s="103">
        <v>8292</v>
      </c>
      <c r="M37" s="180"/>
      <c r="N37" s="103"/>
      <c r="O37" s="103">
        <v>66344</v>
      </c>
      <c r="P37" s="181"/>
      <c r="Q37" s="52"/>
      <c r="R37" s="103">
        <f t="shared" ref="R37:R42" si="15">O37+L37+I37+F37</f>
        <v>188254</v>
      </c>
      <c r="S37" s="180"/>
      <c r="T37" s="103"/>
      <c r="U37" s="66">
        <f t="shared" si="14"/>
        <v>252788</v>
      </c>
      <c r="V37" s="181"/>
      <c r="W37" s="182" t="s">
        <v>374</v>
      </c>
      <c r="X37" s="78"/>
      <c r="Y37" s="126"/>
      <c r="Z37" s="79"/>
      <c r="AA37" s="79"/>
      <c r="AB37" s="126"/>
      <c r="AE37" s="8"/>
      <c r="AF37" s="8"/>
      <c r="AG37" s="8"/>
      <c r="AH37" s="34"/>
      <c r="AI37" s="8"/>
      <c r="AJ37" s="8"/>
      <c r="AK37" s="8"/>
      <c r="AL37" s="8"/>
      <c r="AM37" s="5"/>
      <c r="AN37" s="5"/>
      <c r="AO37" s="5"/>
      <c r="AP37" s="5"/>
      <c r="AQ37" s="8"/>
      <c r="AR37" s="187"/>
      <c r="AS37" s="8"/>
      <c r="AT37" s="8"/>
      <c r="AU37" s="8"/>
      <c r="AV37" s="8"/>
      <c r="AW37" s="8"/>
      <c r="AX37" s="8"/>
      <c r="AY37" s="11"/>
      <c r="AZ37" s="93"/>
      <c r="BA37" s="71"/>
      <c r="BB37" s="71"/>
      <c r="BC37" s="11"/>
      <c r="BD37" s="8"/>
      <c r="BE37" s="8"/>
      <c r="BF37" s="8"/>
      <c r="BG37" s="8"/>
      <c r="BH37" s="8"/>
      <c r="BI37" s="8"/>
      <c r="BJ37" s="5"/>
      <c r="BK37" s="5"/>
      <c r="BL37" s="34"/>
      <c r="BM37" s="8"/>
      <c r="BN37" s="8"/>
      <c r="BO37" s="8"/>
      <c r="BP37" s="8"/>
      <c r="BQ37" s="8"/>
      <c r="BR37" s="8"/>
      <c r="BS37" s="8"/>
      <c r="BT37" s="11"/>
      <c r="BU37" s="8"/>
      <c r="BV37" s="11"/>
      <c r="BW37" s="8"/>
      <c r="BX37" s="8"/>
      <c r="BY37" s="8"/>
      <c r="BZ37" s="8"/>
      <c r="CA37" s="8"/>
      <c r="CB37" s="8"/>
      <c r="CC37" s="8"/>
      <c r="CD37" s="34"/>
      <c r="CE37" s="8"/>
      <c r="CF37" s="8"/>
      <c r="CG37" s="8"/>
      <c r="CH37" s="71"/>
      <c r="CI37" s="71"/>
      <c r="CJ37" s="71"/>
      <c r="CK37" s="71"/>
      <c r="CL37" s="71"/>
      <c r="CM37" s="71"/>
      <c r="CN37" s="72"/>
      <c r="CO37" s="71"/>
      <c r="CP37" s="71"/>
      <c r="CQ37" s="1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12"/>
      <c r="DD37" s="12"/>
      <c r="DE37" s="8"/>
      <c r="DF37" s="8"/>
      <c r="DG37" s="8"/>
      <c r="DH37" s="8"/>
      <c r="DI37" s="34"/>
      <c r="DJ37" s="18"/>
      <c r="DK37" s="18"/>
      <c r="DL37" s="18"/>
      <c r="DM37" s="18"/>
      <c r="DN37" s="18"/>
      <c r="DO37" s="18"/>
      <c r="DP37" s="18"/>
      <c r="DQ37" s="18"/>
      <c r="DR37" s="18"/>
      <c r="DS37" s="8"/>
      <c r="DT37" s="18"/>
      <c r="DU37" s="5"/>
      <c r="DV37" s="5"/>
      <c r="DW37" s="18"/>
      <c r="DX37" s="18"/>
      <c r="DY37" s="19"/>
      <c r="DZ37" s="34"/>
      <c r="EA37" s="34"/>
      <c r="EB37" s="34"/>
      <c r="EC37" s="34"/>
      <c r="ED37" s="34"/>
      <c r="EE37" s="34"/>
      <c r="EF37" s="34"/>
      <c r="EG37" s="34"/>
      <c r="EH37" s="34"/>
      <c r="EI37" s="8"/>
      <c r="EJ37" s="8"/>
      <c r="EK37" s="8"/>
      <c r="EL37" s="8"/>
      <c r="EM37" s="8"/>
      <c r="EN37" s="8"/>
      <c r="EU37" s="8"/>
      <c r="EV37" s="8"/>
      <c r="EW37" s="11"/>
      <c r="EX37" s="8"/>
      <c r="EY37" s="8"/>
      <c r="EZ37" s="8"/>
      <c r="FA37" s="8"/>
      <c r="FB37" s="8"/>
      <c r="FC37" s="11"/>
      <c r="FD37" s="8"/>
      <c r="FE37" s="11"/>
      <c r="FF37" s="8"/>
      <c r="FG37" s="8"/>
      <c r="FH37" s="8"/>
      <c r="FI37" s="8"/>
      <c r="FJ37" s="34"/>
      <c r="FK37" s="34"/>
      <c r="FL37" s="34"/>
      <c r="FM37" s="34"/>
      <c r="FN37" s="34"/>
      <c r="FO37" s="34"/>
      <c r="FP37" s="34"/>
      <c r="FQ37" s="34"/>
      <c r="FR37" s="5"/>
      <c r="FS37" s="5"/>
      <c r="FT37" s="5"/>
      <c r="FU37" s="5"/>
      <c r="FV37" s="8"/>
      <c r="FW37" s="8"/>
      <c r="FX37" s="8"/>
      <c r="FY37" s="8"/>
      <c r="FZ37" s="8"/>
      <c r="GA37" s="8"/>
      <c r="GB37" s="11"/>
      <c r="GC37" s="8"/>
      <c r="GD37" s="8"/>
      <c r="GE37" s="8"/>
      <c r="GF37" s="8"/>
      <c r="GG37" s="8"/>
      <c r="GH37" s="11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34"/>
      <c r="HD37" s="34"/>
      <c r="HE37" s="34"/>
      <c r="HF37" s="34"/>
      <c r="HG37" s="34"/>
      <c r="HH37" s="34"/>
      <c r="HI37" s="11"/>
      <c r="HJ37" s="8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F37" s="183"/>
      <c r="IG37" s="5"/>
      <c r="IH37" s="5"/>
      <c r="II37" s="5"/>
      <c r="IJ37" s="5"/>
      <c r="IK37" s="5"/>
      <c r="IL37" s="5"/>
      <c r="IM37" s="5"/>
      <c r="IN37" s="5"/>
      <c r="IO37" s="5"/>
    </row>
    <row r="38" spans="1:249" ht="15" customHeight="1" x14ac:dyDescent="0.3">
      <c r="A38" s="102" t="s">
        <v>377</v>
      </c>
      <c r="B38" s="177">
        <f>39088+10655+11365+4013+1214</f>
        <v>66335</v>
      </c>
      <c r="C38" s="178"/>
      <c r="D38" s="179"/>
      <c r="E38" s="178"/>
      <c r="F38" s="59">
        <v>94515</v>
      </c>
      <c r="G38" s="180"/>
      <c r="H38" s="103"/>
      <c r="I38" s="80">
        <v>22295</v>
      </c>
      <c r="J38" s="180"/>
      <c r="K38" s="103"/>
      <c r="L38" s="103">
        <f>2263+1786+1319+1388+1113</f>
        <v>7869</v>
      </c>
      <c r="M38" s="180"/>
      <c r="N38" s="103"/>
      <c r="O38" s="103">
        <f>11399+9154+15142+9173+418+8485+191+11558+115+496</f>
        <v>66131</v>
      </c>
      <c r="P38" s="181"/>
      <c r="Q38" s="52"/>
      <c r="R38" s="103">
        <f t="shared" si="15"/>
        <v>190810</v>
      </c>
      <c r="S38" s="180"/>
      <c r="T38" s="103"/>
      <c r="U38" s="66">
        <f t="shared" si="14"/>
        <v>257145</v>
      </c>
      <c r="V38" s="181"/>
      <c r="W38" s="182" t="s">
        <v>376</v>
      </c>
      <c r="X38" s="78"/>
      <c r="Y38" s="126"/>
      <c r="Z38" s="79"/>
      <c r="AA38" s="79"/>
      <c r="AB38" s="126"/>
      <c r="AE38" s="8"/>
      <c r="AF38" s="8"/>
      <c r="AG38" s="8"/>
      <c r="AH38" s="34"/>
      <c r="AI38" s="8"/>
      <c r="AJ38" s="8"/>
      <c r="AK38" s="8"/>
      <c r="AL38" s="8"/>
      <c r="AM38" s="5"/>
      <c r="AN38" s="5"/>
      <c r="AO38" s="5"/>
      <c r="AP38" s="5"/>
      <c r="AQ38" s="8"/>
      <c r="AR38" s="187"/>
      <c r="AS38" s="8"/>
      <c r="AT38" s="8"/>
      <c r="AU38" s="8"/>
      <c r="AV38" s="8"/>
      <c r="AW38" s="8"/>
      <c r="AX38" s="8"/>
      <c r="AY38" s="11"/>
      <c r="AZ38" s="93"/>
      <c r="BA38" s="71"/>
      <c r="BB38" s="71"/>
      <c r="BC38" s="11"/>
      <c r="BD38" s="8"/>
      <c r="BE38" s="8"/>
      <c r="BF38" s="8"/>
      <c r="BG38" s="8"/>
      <c r="BH38" s="8"/>
      <c r="BI38" s="8"/>
      <c r="BJ38" s="5"/>
      <c r="BK38" s="5"/>
      <c r="BL38" s="34"/>
      <c r="BM38" s="8"/>
      <c r="BN38" s="8"/>
      <c r="BO38" s="8"/>
      <c r="BP38" s="8"/>
      <c r="BQ38" s="8"/>
      <c r="BR38" s="8"/>
      <c r="BS38" s="8"/>
      <c r="BT38" s="11"/>
      <c r="BU38" s="8"/>
      <c r="BV38" s="11"/>
      <c r="BW38" s="8"/>
      <c r="BX38" s="8"/>
      <c r="BY38" s="8"/>
      <c r="BZ38" s="8"/>
      <c r="CA38" s="8"/>
      <c r="CB38" s="8"/>
      <c r="CC38" s="8"/>
      <c r="CD38" s="34"/>
      <c r="CE38" s="8"/>
      <c r="CF38" s="8"/>
      <c r="CG38" s="8"/>
      <c r="CH38" s="71"/>
      <c r="CI38" s="71"/>
      <c r="CJ38" s="71"/>
      <c r="CK38" s="71"/>
      <c r="CL38" s="71"/>
      <c r="CM38" s="71"/>
      <c r="CN38" s="72"/>
      <c r="CO38" s="71"/>
      <c r="CP38" s="71"/>
      <c r="CQ38" s="1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12"/>
      <c r="DD38" s="12"/>
      <c r="DE38" s="8"/>
      <c r="DF38" s="8"/>
      <c r="DG38" s="8"/>
      <c r="DH38" s="8"/>
      <c r="DI38" s="34"/>
      <c r="DJ38" s="18"/>
      <c r="DK38" s="18"/>
      <c r="DL38" s="18"/>
      <c r="DM38" s="18"/>
      <c r="DN38" s="18"/>
      <c r="DO38" s="18"/>
      <c r="DP38" s="18"/>
      <c r="DQ38" s="18"/>
      <c r="DR38" s="18"/>
      <c r="DS38" s="8"/>
      <c r="DT38" s="18"/>
      <c r="DU38" s="5"/>
      <c r="DV38" s="5"/>
      <c r="DW38" s="18"/>
      <c r="DX38" s="18"/>
      <c r="DY38" s="19"/>
      <c r="DZ38" s="34"/>
      <c r="EA38" s="34"/>
      <c r="EB38" s="34"/>
      <c r="EC38" s="34"/>
      <c r="ED38" s="34"/>
      <c r="EE38" s="34"/>
      <c r="EF38" s="34"/>
      <c r="EG38" s="34"/>
      <c r="EH38" s="34"/>
      <c r="EI38" s="8"/>
      <c r="EJ38" s="8"/>
      <c r="EK38" s="8"/>
      <c r="EL38" s="8"/>
      <c r="EM38" s="8"/>
      <c r="EN38" s="8"/>
      <c r="EU38" s="8"/>
      <c r="EV38" s="8"/>
      <c r="EW38" s="11"/>
      <c r="EX38" s="8"/>
      <c r="EY38" s="8"/>
      <c r="EZ38" s="8"/>
      <c r="FA38" s="8"/>
      <c r="FB38" s="8"/>
      <c r="FC38" s="11"/>
      <c r="FD38" s="8"/>
      <c r="FE38" s="11"/>
      <c r="FF38" s="8"/>
      <c r="FG38" s="8"/>
      <c r="FH38" s="8"/>
      <c r="FI38" s="8"/>
      <c r="FJ38" s="34"/>
      <c r="FK38" s="34"/>
      <c r="FL38" s="34"/>
      <c r="FM38" s="34"/>
      <c r="FN38" s="34"/>
      <c r="FO38" s="34"/>
      <c r="FP38" s="34"/>
      <c r="FQ38" s="34"/>
      <c r="FR38" s="5"/>
      <c r="FS38" s="5"/>
      <c r="FT38" s="5"/>
      <c r="FU38" s="5"/>
      <c r="FV38" s="8"/>
      <c r="FW38" s="8"/>
      <c r="FX38" s="8"/>
      <c r="FY38" s="8"/>
      <c r="FZ38" s="8"/>
      <c r="GA38" s="8"/>
      <c r="GB38" s="11"/>
      <c r="GC38" s="8"/>
      <c r="GD38" s="8"/>
      <c r="GE38" s="8"/>
      <c r="GF38" s="8"/>
      <c r="GG38" s="8"/>
      <c r="GH38" s="11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34"/>
      <c r="HD38" s="34"/>
      <c r="HE38" s="34"/>
      <c r="HF38" s="34"/>
      <c r="HG38" s="34"/>
      <c r="HH38" s="34"/>
      <c r="HI38" s="11"/>
      <c r="HJ38" s="8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F38" s="183"/>
      <c r="IG38" s="5"/>
      <c r="IH38" s="5"/>
      <c r="II38" s="5"/>
      <c r="IJ38" s="5"/>
      <c r="IK38" s="5"/>
      <c r="IL38" s="5"/>
      <c r="IM38" s="5"/>
      <c r="IN38" s="5"/>
      <c r="IO38" s="5"/>
    </row>
    <row r="39" spans="1:249" ht="15" customHeight="1" x14ac:dyDescent="0.3">
      <c r="A39" s="102" t="s">
        <v>379</v>
      </c>
      <c r="B39" s="177">
        <f>38855+10719+4663+11220+1423</f>
        <v>66880</v>
      </c>
      <c r="C39" s="178"/>
      <c r="D39" s="181"/>
      <c r="E39" s="178"/>
      <c r="F39" s="59">
        <v>96245</v>
      </c>
      <c r="G39" s="181"/>
      <c r="H39" s="103"/>
      <c r="I39" s="80">
        <v>23812</v>
      </c>
      <c r="J39" s="181"/>
      <c r="K39" s="103"/>
      <c r="L39" s="103">
        <v>7191</v>
      </c>
      <c r="M39" s="181"/>
      <c r="N39" s="103"/>
      <c r="O39" s="103">
        <v>65460</v>
      </c>
      <c r="P39" s="181"/>
      <c r="Q39" s="52"/>
      <c r="R39" s="103">
        <f t="shared" si="15"/>
        <v>192708</v>
      </c>
      <c r="S39" s="181"/>
      <c r="T39" s="103"/>
      <c r="U39" s="66">
        <f t="shared" ref="U39:U43" si="16">R39+B39</f>
        <v>259588</v>
      </c>
      <c r="V39" s="181"/>
      <c r="W39" s="112" t="s">
        <v>378</v>
      </c>
      <c r="X39" s="78"/>
      <c r="Y39" s="126"/>
      <c r="Z39" s="79"/>
      <c r="AA39" s="79"/>
      <c r="AB39" s="126"/>
      <c r="AE39" s="8"/>
      <c r="AF39" s="8"/>
      <c r="AG39" s="8"/>
      <c r="AH39" s="34"/>
      <c r="AI39" s="8"/>
      <c r="AJ39" s="8"/>
      <c r="AK39" s="8"/>
      <c r="AL39" s="8"/>
      <c r="AM39" s="5"/>
      <c r="AN39" s="5"/>
      <c r="AO39" s="5"/>
      <c r="AP39" s="5"/>
      <c r="AQ39" s="8"/>
      <c r="AR39" s="187"/>
      <c r="AS39" s="8"/>
      <c r="AT39" s="8"/>
      <c r="AU39" s="8"/>
      <c r="AV39" s="8"/>
      <c r="AW39" s="8"/>
      <c r="AX39" s="8"/>
      <c r="AY39" s="11"/>
      <c r="AZ39" s="93"/>
      <c r="BA39" s="71"/>
      <c r="BB39" s="71"/>
      <c r="BC39" s="11"/>
      <c r="BD39" s="8"/>
      <c r="BE39" s="8"/>
      <c r="BF39" s="8"/>
      <c r="BG39" s="8"/>
      <c r="BH39" s="8"/>
      <c r="BI39" s="8"/>
      <c r="BJ39" s="5"/>
      <c r="BK39" s="5"/>
      <c r="BL39" s="34"/>
      <c r="BM39" s="8"/>
      <c r="BN39" s="8"/>
      <c r="BO39" s="8"/>
      <c r="BP39" s="8"/>
      <c r="BQ39" s="8"/>
      <c r="BR39" s="8"/>
      <c r="BS39" s="8"/>
      <c r="BT39" s="11"/>
      <c r="BU39" s="8"/>
      <c r="BV39" s="11"/>
      <c r="BW39" s="8"/>
      <c r="BX39" s="8"/>
      <c r="BY39" s="8"/>
      <c r="BZ39" s="8"/>
      <c r="CA39" s="8"/>
      <c r="CB39" s="8"/>
      <c r="CC39" s="8"/>
      <c r="CD39" s="34"/>
      <c r="CE39" s="8"/>
      <c r="CF39" s="8"/>
      <c r="CG39" s="8"/>
      <c r="CH39" s="71"/>
      <c r="CI39" s="71"/>
      <c r="CJ39" s="71"/>
      <c r="CK39" s="71"/>
      <c r="CL39" s="71"/>
      <c r="CM39" s="71"/>
      <c r="CN39" s="72"/>
      <c r="CO39" s="71"/>
      <c r="CP39" s="71"/>
      <c r="CQ39" s="1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12"/>
      <c r="DD39" s="12"/>
      <c r="DE39" s="8"/>
      <c r="DF39" s="8"/>
      <c r="DG39" s="8"/>
      <c r="DH39" s="8"/>
      <c r="DI39" s="34"/>
      <c r="DJ39" s="18"/>
      <c r="DK39" s="18"/>
      <c r="DL39" s="18"/>
      <c r="DM39" s="18"/>
      <c r="DN39" s="18"/>
      <c r="DO39" s="18"/>
      <c r="DP39" s="18"/>
      <c r="DQ39" s="18"/>
      <c r="DR39" s="18"/>
      <c r="DS39" s="8"/>
      <c r="DT39" s="18"/>
      <c r="DU39" s="5"/>
      <c r="DV39" s="5"/>
      <c r="DW39" s="18"/>
      <c r="DX39" s="18"/>
      <c r="DY39" s="19"/>
      <c r="DZ39" s="34"/>
      <c r="EA39" s="34"/>
      <c r="EB39" s="34"/>
      <c r="EC39" s="34"/>
      <c r="ED39" s="34"/>
      <c r="EE39" s="34"/>
      <c r="EF39" s="34"/>
      <c r="EG39" s="34"/>
      <c r="EH39" s="34"/>
      <c r="EI39" s="8"/>
      <c r="EJ39" s="8"/>
      <c r="EK39" s="8"/>
      <c r="EL39" s="8"/>
      <c r="EM39" s="8"/>
      <c r="EN39" s="8"/>
      <c r="EU39" s="8"/>
      <c r="EV39" s="8"/>
      <c r="EW39" s="11"/>
      <c r="EX39" s="8"/>
      <c r="EY39" s="8"/>
      <c r="EZ39" s="8"/>
      <c r="FA39" s="8"/>
      <c r="FB39" s="8"/>
      <c r="FC39" s="11"/>
      <c r="FD39" s="8"/>
      <c r="FE39" s="11"/>
      <c r="FF39" s="8"/>
      <c r="FG39" s="8"/>
      <c r="FH39" s="8"/>
      <c r="FI39" s="8"/>
      <c r="FJ39" s="34"/>
      <c r="FK39" s="34"/>
      <c r="FL39" s="34"/>
      <c r="FM39" s="34"/>
      <c r="FN39" s="34"/>
      <c r="FO39" s="34"/>
      <c r="FP39" s="34"/>
      <c r="FQ39" s="34"/>
      <c r="FR39" s="5"/>
      <c r="FS39" s="5"/>
      <c r="FT39" s="5"/>
      <c r="FU39" s="5"/>
      <c r="FV39" s="8"/>
      <c r="FW39" s="8"/>
      <c r="FX39" s="8"/>
      <c r="FY39" s="8"/>
      <c r="FZ39" s="8"/>
      <c r="GA39" s="8"/>
      <c r="GB39" s="11"/>
      <c r="GC39" s="8"/>
      <c r="GD39" s="8"/>
      <c r="GE39" s="8"/>
      <c r="GF39" s="8"/>
      <c r="GG39" s="8"/>
      <c r="GH39" s="11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34"/>
      <c r="HD39" s="34"/>
      <c r="HE39" s="34"/>
      <c r="HF39" s="34"/>
      <c r="HG39" s="34"/>
      <c r="HH39" s="34"/>
      <c r="HI39" s="11"/>
      <c r="HJ39" s="8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F39" s="183"/>
      <c r="IG39" s="5"/>
      <c r="IH39" s="5"/>
      <c r="II39" s="5"/>
      <c r="IJ39" s="5"/>
      <c r="IK39" s="5"/>
      <c r="IL39" s="5"/>
      <c r="IM39" s="5"/>
      <c r="IN39" s="5"/>
      <c r="IO39" s="5"/>
    </row>
    <row r="40" spans="1:249" ht="15" customHeight="1" x14ac:dyDescent="0.3">
      <c r="A40" s="102" t="s">
        <v>388</v>
      </c>
      <c r="B40" s="177">
        <f>38091+12432+10878+1409+5740+337</f>
        <v>68887</v>
      </c>
      <c r="C40" s="184"/>
      <c r="D40" s="185"/>
      <c r="E40" s="184"/>
      <c r="F40" s="59">
        <v>96328</v>
      </c>
      <c r="G40" s="185"/>
      <c r="H40" s="103"/>
      <c r="I40" s="186">
        <v>24578</v>
      </c>
      <c r="J40" s="181"/>
      <c r="K40" s="103"/>
      <c r="L40" s="103">
        <v>6052</v>
      </c>
      <c r="M40" s="181"/>
      <c r="N40" s="103"/>
      <c r="O40" s="103">
        <v>64733</v>
      </c>
      <c r="P40" s="181"/>
      <c r="Q40" s="52"/>
      <c r="R40" s="103">
        <f t="shared" si="15"/>
        <v>191691</v>
      </c>
      <c r="S40" s="181"/>
      <c r="T40" s="103"/>
      <c r="U40" s="66">
        <f t="shared" si="16"/>
        <v>260578</v>
      </c>
      <c r="V40" s="181"/>
      <c r="W40" s="112" t="s">
        <v>387</v>
      </c>
      <c r="X40" s="78"/>
      <c r="Y40" s="126"/>
      <c r="Z40" s="79"/>
      <c r="AA40" s="79"/>
      <c r="AB40" s="126"/>
      <c r="AE40" s="8"/>
      <c r="AF40" s="8"/>
      <c r="AG40" s="8"/>
      <c r="AH40" s="34"/>
      <c r="AI40" s="8"/>
      <c r="AJ40" s="8"/>
      <c r="AK40" s="8"/>
      <c r="AL40" s="8"/>
      <c r="AM40" s="5"/>
      <c r="AN40" s="5"/>
      <c r="AO40" s="5"/>
      <c r="AP40" s="5"/>
      <c r="AQ40" s="8"/>
      <c r="AR40" s="187"/>
      <c r="AS40" s="8"/>
      <c r="AT40" s="8"/>
      <c r="AU40" s="8"/>
      <c r="AV40" s="8"/>
      <c r="AW40" s="8"/>
      <c r="AX40" s="8"/>
      <c r="AY40" s="11"/>
      <c r="AZ40" s="93"/>
      <c r="BA40" s="71"/>
      <c r="BB40" s="71"/>
      <c r="BC40" s="11"/>
      <c r="BD40" s="8"/>
      <c r="BE40" s="8"/>
      <c r="BF40" s="8"/>
      <c r="BG40" s="8"/>
      <c r="BH40" s="8"/>
      <c r="BI40" s="8"/>
      <c r="BJ40" s="5"/>
      <c r="BK40" s="5"/>
      <c r="BL40" s="34"/>
      <c r="BM40" s="8"/>
      <c r="BN40" s="8"/>
      <c r="BO40" s="8"/>
      <c r="BP40" s="8"/>
      <c r="BQ40" s="8"/>
      <c r="BR40" s="8"/>
      <c r="BS40" s="8"/>
      <c r="BT40" s="11"/>
      <c r="BU40" s="8"/>
      <c r="BV40" s="11"/>
      <c r="BW40" s="8"/>
      <c r="BX40" s="8"/>
      <c r="BY40" s="8"/>
      <c r="BZ40" s="8"/>
      <c r="CA40" s="8"/>
      <c r="CB40" s="8"/>
      <c r="CC40" s="8"/>
      <c r="CD40" s="34"/>
      <c r="CE40" s="8"/>
      <c r="CF40" s="8"/>
      <c r="CG40" s="8"/>
      <c r="CH40" s="71"/>
      <c r="CI40" s="71"/>
      <c r="CJ40" s="71"/>
      <c r="CK40" s="71"/>
      <c r="CL40" s="71"/>
      <c r="CM40" s="71"/>
      <c r="CN40" s="72"/>
      <c r="CO40" s="71"/>
      <c r="CP40" s="71"/>
      <c r="CQ40" s="1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12"/>
      <c r="DD40" s="12"/>
      <c r="DE40" s="8"/>
      <c r="DF40" s="8"/>
      <c r="DG40" s="8"/>
      <c r="DH40" s="8"/>
      <c r="DI40" s="34"/>
      <c r="DJ40" s="18"/>
      <c r="DK40" s="18"/>
      <c r="DL40" s="18"/>
      <c r="DM40" s="18"/>
      <c r="DN40" s="18"/>
      <c r="DO40" s="18"/>
      <c r="DP40" s="18"/>
      <c r="DQ40" s="18"/>
      <c r="DR40" s="18"/>
      <c r="DS40" s="8"/>
      <c r="DT40" s="18"/>
      <c r="DU40" s="5"/>
      <c r="DV40" s="5"/>
      <c r="DW40" s="18"/>
      <c r="DX40" s="18"/>
      <c r="DY40" s="19"/>
      <c r="DZ40" s="34"/>
      <c r="EA40" s="34"/>
      <c r="EB40" s="34"/>
      <c r="EC40" s="34"/>
      <c r="ED40" s="34"/>
      <c r="EE40" s="34"/>
      <c r="EF40" s="34"/>
      <c r="EG40" s="34"/>
      <c r="EH40" s="34"/>
      <c r="EI40" s="8"/>
      <c r="EJ40" s="8"/>
      <c r="EK40" s="8"/>
      <c r="EL40" s="8"/>
      <c r="EM40" s="8"/>
      <c r="EN40" s="8"/>
      <c r="EU40" s="8"/>
      <c r="EV40" s="8"/>
      <c r="EW40" s="11"/>
      <c r="EX40" s="8"/>
      <c r="EY40" s="8"/>
      <c r="EZ40" s="8"/>
      <c r="FA40" s="8"/>
      <c r="FB40" s="8"/>
      <c r="FC40" s="11"/>
      <c r="FD40" s="8"/>
      <c r="FE40" s="11"/>
      <c r="FF40" s="8"/>
      <c r="FG40" s="8"/>
      <c r="FH40" s="8"/>
      <c r="FI40" s="8"/>
      <c r="FJ40" s="34"/>
      <c r="FK40" s="34"/>
      <c r="FL40" s="34"/>
      <c r="FM40" s="34"/>
      <c r="FN40" s="34"/>
      <c r="FO40" s="34"/>
      <c r="FP40" s="34"/>
      <c r="FQ40" s="34"/>
      <c r="FR40" s="5"/>
      <c r="FS40" s="5"/>
      <c r="FT40" s="5"/>
      <c r="FU40" s="5"/>
      <c r="FV40" s="8"/>
      <c r="FW40" s="8"/>
      <c r="FX40" s="8"/>
      <c r="FY40" s="8"/>
      <c r="FZ40" s="8"/>
      <c r="GA40" s="8"/>
      <c r="GB40" s="11"/>
      <c r="GC40" s="8"/>
      <c r="GD40" s="8"/>
      <c r="GE40" s="8"/>
      <c r="GF40" s="8"/>
      <c r="GG40" s="8"/>
      <c r="GH40" s="11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34"/>
      <c r="HD40" s="34"/>
      <c r="HE40" s="34"/>
      <c r="HF40" s="34"/>
      <c r="HG40" s="34"/>
      <c r="HH40" s="34"/>
      <c r="HI40" s="11"/>
      <c r="HJ40" s="8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F40" s="183"/>
      <c r="IG40" s="5"/>
      <c r="IH40" s="5"/>
      <c r="II40" s="5"/>
      <c r="IJ40" s="5"/>
      <c r="IK40" s="5"/>
      <c r="IL40" s="5"/>
      <c r="IM40" s="5"/>
      <c r="IN40" s="5"/>
      <c r="IO40" s="5"/>
    </row>
    <row r="41" spans="1:249" ht="15" customHeight="1" x14ac:dyDescent="0.3">
      <c r="A41" s="102" t="s">
        <v>391</v>
      </c>
      <c r="B41" s="177">
        <f>38778+10894+12977+1419+6548</f>
        <v>70616</v>
      </c>
      <c r="C41" s="184"/>
      <c r="D41" s="189"/>
      <c r="E41" s="191"/>
      <c r="F41" s="59">
        <f>89944-2000</f>
        <v>87944</v>
      </c>
      <c r="G41" s="189"/>
      <c r="H41" s="177"/>
      <c r="I41" s="186">
        <v>25062</v>
      </c>
      <c r="J41" s="52"/>
      <c r="K41" s="177"/>
      <c r="L41" s="103">
        <v>4236</v>
      </c>
      <c r="M41" s="52"/>
      <c r="N41" s="177"/>
      <c r="O41" s="103">
        <v>74374</v>
      </c>
      <c r="P41" s="52"/>
      <c r="Q41" s="192"/>
      <c r="R41" s="103">
        <f>O41+L41+I41+F41</f>
        <v>191616</v>
      </c>
      <c r="S41" s="52"/>
      <c r="T41" s="177"/>
      <c r="U41" s="66">
        <f t="shared" si="16"/>
        <v>262232</v>
      </c>
      <c r="V41" s="52"/>
      <c r="W41" s="182" t="s">
        <v>389</v>
      </c>
      <c r="X41" s="78"/>
      <c r="Y41" s="126"/>
      <c r="Z41" s="79"/>
      <c r="AA41" s="79"/>
      <c r="AB41" s="126"/>
      <c r="AE41" s="8"/>
      <c r="AF41" s="8"/>
      <c r="AG41" s="8"/>
      <c r="AH41" s="34"/>
      <c r="AI41" s="8"/>
      <c r="AJ41" s="8"/>
      <c r="AK41" s="8"/>
      <c r="AL41" s="8"/>
      <c r="AM41" s="5"/>
      <c r="AN41" s="5"/>
      <c r="AO41" s="5"/>
      <c r="AP41" s="5"/>
      <c r="AQ41" s="8"/>
      <c r="AR41" s="187"/>
      <c r="AS41" s="8"/>
      <c r="AT41" s="8"/>
      <c r="AU41" s="8"/>
      <c r="AV41" s="8"/>
      <c r="AW41" s="8"/>
      <c r="AX41" s="8"/>
      <c r="AY41" s="11"/>
      <c r="AZ41" s="93"/>
      <c r="BA41" s="71"/>
      <c r="BB41" s="71"/>
      <c r="BC41" s="11"/>
      <c r="BD41" s="8"/>
      <c r="BE41" s="8"/>
      <c r="BF41" s="8"/>
      <c r="BG41" s="8"/>
      <c r="BH41" s="8"/>
      <c r="BI41" s="8"/>
      <c r="BJ41" s="5"/>
      <c r="BK41" s="5"/>
      <c r="BL41" s="34"/>
      <c r="BM41" s="8"/>
      <c r="BN41" s="8"/>
      <c r="BO41" s="8"/>
      <c r="BP41" s="8"/>
      <c r="BQ41" s="8"/>
      <c r="BR41" s="8"/>
      <c r="BS41" s="8"/>
      <c r="BT41" s="11"/>
      <c r="BU41" s="8"/>
      <c r="BV41" s="11"/>
      <c r="BW41" s="8"/>
      <c r="BX41" s="8"/>
      <c r="BY41" s="8"/>
      <c r="BZ41" s="8"/>
      <c r="CA41" s="8"/>
      <c r="CB41" s="8"/>
      <c r="CC41" s="8"/>
      <c r="CD41" s="34"/>
      <c r="CE41" s="8"/>
      <c r="CF41" s="8"/>
      <c r="CG41" s="8"/>
      <c r="CH41" s="71"/>
      <c r="CI41" s="71"/>
      <c r="CJ41" s="71"/>
      <c r="CK41" s="71"/>
      <c r="CL41" s="71"/>
      <c r="CM41" s="71"/>
      <c r="CN41" s="72"/>
      <c r="CO41" s="71"/>
      <c r="CP41" s="71"/>
      <c r="CQ41" s="1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12"/>
      <c r="DD41" s="12"/>
      <c r="DE41" s="8"/>
      <c r="DF41" s="8"/>
      <c r="DG41" s="8"/>
      <c r="DH41" s="8"/>
      <c r="DI41" s="34"/>
      <c r="DJ41" s="18"/>
      <c r="DK41" s="18"/>
      <c r="DL41" s="18"/>
      <c r="DM41" s="18"/>
      <c r="DN41" s="18"/>
      <c r="DO41" s="18"/>
      <c r="DP41" s="18"/>
      <c r="DQ41" s="18"/>
      <c r="DR41" s="18"/>
      <c r="DS41" s="8"/>
      <c r="DT41" s="18"/>
      <c r="DU41" s="5"/>
      <c r="DV41" s="5"/>
      <c r="DW41" s="18"/>
      <c r="DX41" s="18"/>
      <c r="DY41" s="19"/>
      <c r="DZ41" s="34"/>
      <c r="EA41" s="34"/>
      <c r="EB41" s="34"/>
      <c r="EC41" s="34"/>
      <c r="ED41" s="34"/>
      <c r="EE41" s="34"/>
      <c r="EF41" s="34"/>
      <c r="EG41" s="34"/>
      <c r="EH41" s="34"/>
      <c r="EI41" s="8"/>
      <c r="EJ41" s="8"/>
      <c r="EK41" s="8"/>
      <c r="EL41" s="8"/>
      <c r="EM41" s="8"/>
      <c r="EN41" s="8"/>
      <c r="EU41" s="8"/>
      <c r="EV41" s="8"/>
      <c r="EW41" s="11"/>
      <c r="EX41" s="8"/>
      <c r="EY41" s="8"/>
      <c r="EZ41" s="8"/>
      <c r="FA41" s="8"/>
      <c r="FB41" s="8"/>
      <c r="FC41" s="11"/>
      <c r="FD41" s="8"/>
      <c r="FE41" s="11"/>
      <c r="FF41" s="8"/>
      <c r="FG41" s="8"/>
      <c r="FH41" s="8"/>
      <c r="FI41" s="8"/>
      <c r="FJ41" s="34"/>
      <c r="FK41" s="34"/>
      <c r="FL41" s="34"/>
      <c r="FM41" s="34"/>
      <c r="FN41" s="34"/>
      <c r="FO41" s="34"/>
      <c r="FP41" s="34"/>
      <c r="FQ41" s="34"/>
      <c r="FR41" s="5"/>
      <c r="FS41" s="5"/>
      <c r="FT41" s="5"/>
      <c r="FU41" s="5"/>
      <c r="FV41" s="8"/>
      <c r="FW41" s="8"/>
      <c r="FX41" s="8"/>
      <c r="FY41" s="8"/>
      <c r="FZ41" s="8"/>
      <c r="GA41" s="8"/>
      <c r="GB41" s="11"/>
      <c r="GC41" s="8"/>
      <c r="GD41" s="8"/>
      <c r="GE41" s="8"/>
      <c r="GF41" s="8"/>
      <c r="GG41" s="8"/>
      <c r="GH41" s="11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34"/>
      <c r="HD41" s="34"/>
      <c r="HE41" s="34"/>
      <c r="HF41" s="34"/>
      <c r="HG41" s="34"/>
      <c r="HH41" s="34"/>
      <c r="HI41" s="11"/>
      <c r="HJ41" s="8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F41" s="183"/>
      <c r="IG41" s="5"/>
      <c r="IH41" s="5"/>
      <c r="II41" s="5"/>
      <c r="IJ41" s="5"/>
      <c r="IK41" s="5"/>
      <c r="IL41" s="5"/>
      <c r="IM41" s="5"/>
      <c r="IN41" s="5"/>
      <c r="IO41" s="5"/>
    </row>
    <row r="42" spans="1:249" ht="15" customHeight="1" x14ac:dyDescent="0.3">
      <c r="A42" s="102" t="s">
        <v>396</v>
      </c>
      <c r="B42" s="177">
        <f>39038+11000+1308+13956+7152</f>
        <v>72454</v>
      </c>
      <c r="C42" s="184"/>
      <c r="D42" s="189"/>
      <c r="E42" s="191"/>
      <c r="F42" s="59">
        <v>88918</v>
      </c>
      <c r="G42" s="189"/>
      <c r="H42" s="177"/>
      <c r="I42" s="186">
        <v>25678</v>
      </c>
      <c r="J42" s="52"/>
      <c r="K42" s="177"/>
      <c r="L42" s="103">
        <v>2264</v>
      </c>
      <c r="M42" s="52"/>
      <c r="N42" s="177"/>
      <c r="O42" s="103">
        <v>74381</v>
      </c>
      <c r="P42" s="52"/>
      <c r="Q42" s="192"/>
      <c r="R42" s="103">
        <f t="shared" si="15"/>
        <v>191241</v>
      </c>
      <c r="S42" s="52"/>
      <c r="T42" s="192"/>
      <c r="U42" s="66">
        <f t="shared" si="16"/>
        <v>263695</v>
      </c>
      <c r="V42" s="52"/>
      <c r="W42" s="182" t="s">
        <v>395</v>
      </c>
      <c r="X42" s="78"/>
      <c r="Y42" s="126"/>
      <c r="Z42" s="79"/>
      <c r="AA42" s="79"/>
      <c r="AB42" s="126"/>
      <c r="AE42" s="8"/>
      <c r="AF42" s="8"/>
      <c r="AG42" s="8"/>
      <c r="AH42" s="34"/>
      <c r="AI42" s="8"/>
      <c r="AJ42" s="8"/>
      <c r="AK42" s="8"/>
      <c r="AL42" s="8"/>
      <c r="AM42" s="5"/>
      <c r="AN42" s="5"/>
      <c r="AO42" s="5"/>
      <c r="AP42" s="5"/>
      <c r="AQ42" s="8"/>
      <c r="AR42" s="187"/>
      <c r="AS42" s="8"/>
      <c r="AT42" s="8"/>
      <c r="AU42" s="8"/>
      <c r="AV42" s="8"/>
      <c r="AW42" s="8"/>
      <c r="AX42" s="8"/>
      <c r="AY42" s="11"/>
      <c r="AZ42" s="93"/>
      <c r="BA42" s="71"/>
      <c r="BB42" s="71"/>
      <c r="BC42" s="11"/>
      <c r="BD42" s="8"/>
      <c r="BE42" s="8"/>
      <c r="BF42" s="8"/>
      <c r="BG42" s="8"/>
      <c r="BH42" s="8"/>
      <c r="BI42" s="8"/>
      <c r="BJ42" s="5"/>
      <c r="BK42" s="5"/>
      <c r="BL42" s="34"/>
      <c r="BM42" s="8"/>
      <c r="BN42" s="8"/>
      <c r="BO42" s="8"/>
      <c r="BP42" s="8"/>
      <c r="BQ42" s="8"/>
      <c r="BR42" s="8"/>
      <c r="BS42" s="8"/>
      <c r="BT42" s="11"/>
      <c r="BU42" s="8"/>
      <c r="BV42" s="11"/>
      <c r="BW42" s="8"/>
      <c r="BX42" s="8"/>
      <c r="BY42" s="8"/>
      <c r="BZ42" s="8"/>
      <c r="CA42" s="8"/>
      <c r="CB42" s="8"/>
      <c r="CC42" s="8"/>
      <c r="CD42" s="34"/>
      <c r="CE42" s="8"/>
      <c r="CF42" s="8"/>
      <c r="CG42" s="8"/>
      <c r="CH42" s="71"/>
      <c r="CI42" s="71"/>
      <c r="CJ42" s="71"/>
      <c r="CK42" s="71"/>
      <c r="CL42" s="71"/>
      <c r="CM42" s="71"/>
      <c r="CN42" s="72"/>
      <c r="CO42" s="71"/>
      <c r="CP42" s="71"/>
      <c r="CQ42" s="1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12"/>
      <c r="DD42" s="12"/>
      <c r="DE42" s="8"/>
      <c r="DF42" s="8"/>
      <c r="DG42" s="8"/>
      <c r="DH42" s="8"/>
      <c r="DI42" s="34"/>
      <c r="DJ42" s="18"/>
      <c r="DK42" s="18"/>
      <c r="DL42" s="18"/>
      <c r="DM42" s="18"/>
      <c r="DN42" s="18"/>
      <c r="DO42" s="18"/>
      <c r="DP42" s="18"/>
      <c r="DQ42" s="18"/>
      <c r="DR42" s="18"/>
      <c r="DS42" s="8"/>
      <c r="DT42" s="18"/>
      <c r="DU42" s="5"/>
      <c r="DV42" s="5"/>
      <c r="DW42" s="18"/>
      <c r="DX42" s="18"/>
      <c r="DY42" s="19"/>
      <c r="DZ42" s="34"/>
      <c r="EA42" s="34"/>
      <c r="EB42" s="34"/>
      <c r="EC42" s="34"/>
      <c r="ED42" s="34"/>
      <c r="EE42" s="34"/>
      <c r="EF42" s="34"/>
      <c r="EG42" s="34"/>
      <c r="EH42" s="34"/>
      <c r="EI42" s="8"/>
      <c r="EJ42" s="8"/>
      <c r="EK42" s="8"/>
      <c r="EL42" s="8"/>
      <c r="EM42" s="8"/>
      <c r="EN42" s="8"/>
      <c r="EU42" s="8"/>
      <c r="EV42" s="8"/>
      <c r="EW42" s="11"/>
      <c r="EX42" s="8"/>
      <c r="EY42" s="8"/>
      <c r="EZ42" s="8"/>
      <c r="FA42" s="8"/>
      <c r="FB42" s="8"/>
      <c r="FC42" s="11"/>
      <c r="FD42" s="8"/>
      <c r="FE42" s="11"/>
      <c r="FF42" s="8"/>
      <c r="FG42" s="8"/>
      <c r="FH42" s="8"/>
      <c r="FI42" s="8"/>
      <c r="FJ42" s="34"/>
      <c r="FK42" s="34"/>
      <c r="FL42" s="34"/>
      <c r="FM42" s="34"/>
      <c r="FN42" s="34"/>
      <c r="FO42" s="34"/>
      <c r="FP42" s="34"/>
      <c r="FQ42" s="34"/>
      <c r="FR42" s="5"/>
      <c r="FS42" s="5"/>
      <c r="FT42" s="5"/>
      <c r="FU42" s="5"/>
      <c r="FV42" s="8"/>
      <c r="FW42" s="8"/>
      <c r="FX42" s="8"/>
      <c r="FY42" s="8"/>
      <c r="FZ42" s="8"/>
      <c r="GA42" s="8"/>
      <c r="GB42" s="11"/>
      <c r="GC42" s="8"/>
      <c r="GD42" s="8"/>
      <c r="GE42" s="8"/>
      <c r="GF42" s="8"/>
      <c r="GG42" s="8"/>
      <c r="GH42" s="11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34"/>
      <c r="HD42" s="34"/>
      <c r="HE42" s="34"/>
      <c r="HF42" s="34"/>
      <c r="HG42" s="34"/>
      <c r="HH42" s="34"/>
      <c r="HI42" s="11"/>
      <c r="HJ42" s="8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F42" s="183"/>
      <c r="IG42" s="5"/>
      <c r="IH42" s="5"/>
      <c r="II42" s="5"/>
      <c r="IJ42" s="5"/>
      <c r="IK42" s="5"/>
      <c r="IL42" s="5"/>
      <c r="IM42" s="5"/>
      <c r="IN42" s="5"/>
      <c r="IO42" s="5"/>
    </row>
    <row r="43" spans="1:249" ht="15" customHeight="1" x14ac:dyDescent="0.3">
      <c r="A43" s="102" t="s">
        <v>400</v>
      </c>
      <c r="B43" s="177">
        <f>38268+11349+1040+1374+2806+10283+7625</f>
        <v>72745</v>
      </c>
      <c r="C43" s="184"/>
      <c r="D43" s="189"/>
      <c r="E43" s="191"/>
      <c r="F43" s="59">
        <f>24012+31914+34194</f>
        <v>90120</v>
      </c>
      <c r="G43" s="185"/>
      <c r="H43" s="103"/>
      <c r="I43" s="186">
        <v>24978</v>
      </c>
      <c r="J43" s="181"/>
      <c r="K43" s="103"/>
      <c r="L43" s="103">
        <v>602</v>
      </c>
      <c r="M43" s="181"/>
      <c r="N43" s="103"/>
      <c r="O43" s="103">
        <v>74146</v>
      </c>
      <c r="P43" s="52"/>
      <c r="Q43" s="192"/>
      <c r="R43" s="103">
        <f>O43+L43+I43+F43</f>
        <v>189846</v>
      </c>
      <c r="S43" s="181"/>
      <c r="T43" s="52"/>
      <c r="U43" s="66">
        <f t="shared" si="16"/>
        <v>262591</v>
      </c>
      <c r="V43" s="52"/>
      <c r="W43" s="182" t="s">
        <v>399</v>
      </c>
      <c r="X43" s="78"/>
      <c r="Y43" s="126"/>
      <c r="Z43" s="79"/>
      <c r="AA43" s="79"/>
      <c r="AB43" s="126"/>
      <c r="AE43" s="8"/>
      <c r="AF43" s="8"/>
      <c r="AG43" s="8"/>
      <c r="AH43" s="34"/>
      <c r="AI43" s="8"/>
      <c r="AJ43" s="8"/>
      <c r="AK43" s="8"/>
      <c r="AL43" s="8"/>
      <c r="AM43" s="5"/>
      <c r="AN43" s="5"/>
      <c r="AO43" s="5"/>
      <c r="AP43" s="5"/>
      <c r="AQ43" s="8"/>
      <c r="AR43" s="187"/>
      <c r="AS43" s="8"/>
      <c r="AT43" s="8"/>
      <c r="AU43" s="8"/>
      <c r="AV43" s="8"/>
      <c r="AW43" s="8"/>
      <c r="AX43" s="8"/>
      <c r="AY43" s="11"/>
      <c r="AZ43" s="93"/>
      <c r="BA43" s="71"/>
      <c r="BB43" s="71"/>
      <c r="BC43" s="11"/>
      <c r="BD43" s="8"/>
      <c r="BE43" s="8"/>
      <c r="BF43" s="8"/>
      <c r="BG43" s="8"/>
      <c r="BH43" s="8"/>
      <c r="BI43" s="8"/>
      <c r="BJ43" s="5"/>
      <c r="BK43" s="5"/>
      <c r="BL43" s="34"/>
      <c r="BM43" s="8"/>
      <c r="BN43" s="8"/>
      <c r="BO43" s="8"/>
      <c r="BP43" s="8"/>
      <c r="BQ43" s="8"/>
      <c r="BR43" s="8"/>
      <c r="BS43" s="8"/>
      <c r="BT43" s="11"/>
      <c r="BU43" s="8"/>
      <c r="BV43" s="11"/>
      <c r="BW43" s="8"/>
      <c r="BX43" s="8"/>
      <c r="BY43" s="8"/>
      <c r="BZ43" s="8"/>
      <c r="CA43" s="8"/>
      <c r="CB43" s="8"/>
      <c r="CC43" s="8"/>
      <c r="CD43" s="34"/>
      <c r="CE43" s="8"/>
      <c r="CF43" s="8"/>
      <c r="CG43" s="8"/>
      <c r="CH43" s="71"/>
      <c r="CI43" s="71"/>
      <c r="CJ43" s="71"/>
      <c r="CK43" s="71"/>
      <c r="CL43" s="71"/>
      <c r="CM43" s="71"/>
      <c r="CN43" s="72"/>
      <c r="CO43" s="71"/>
      <c r="CP43" s="71"/>
      <c r="CQ43" s="1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12"/>
      <c r="DD43" s="12"/>
      <c r="DE43" s="8"/>
      <c r="DF43" s="8"/>
      <c r="DG43" s="8"/>
      <c r="DH43" s="8"/>
      <c r="DI43" s="34"/>
      <c r="DJ43" s="18"/>
      <c r="DK43" s="18"/>
      <c r="DL43" s="18"/>
      <c r="DM43" s="18"/>
      <c r="DN43" s="18"/>
      <c r="DO43" s="18"/>
      <c r="DP43" s="18"/>
      <c r="DQ43" s="18"/>
      <c r="DR43" s="18"/>
      <c r="DS43" s="8"/>
      <c r="DT43" s="18"/>
      <c r="DU43" s="5"/>
      <c r="DV43" s="5"/>
      <c r="DW43" s="18"/>
      <c r="DX43" s="18"/>
      <c r="DY43" s="19"/>
      <c r="DZ43" s="34"/>
      <c r="EA43" s="34"/>
      <c r="EB43" s="34"/>
      <c r="EC43" s="34"/>
      <c r="ED43" s="34"/>
      <c r="EE43" s="34"/>
      <c r="EF43" s="34"/>
      <c r="EG43" s="34"/>
      <c r="EH43" s="34"/>
      <c r="EI43" s="8"/>
      <c r="EJ43" s="8"/>
      <c r="EK43" s="8"/>
      <c r="EL43" s="8"/>
      <c r="EM43" s="8"/>
      <c r="EN43" s="8"/>
      <c r="EU43" s="8"/>
      <c r="EV43" s="8"/>
      <c r="EW43" s="11"/>
      <c r="EX43" s="8"/>
      <c r="EY43" s="8"/>
      <c r="EZ43" s="8"/>
      <c r="FA43" s="8"/>
      <c r="FB43" s="8"/>
      <c r="FC43" s="11"/>
      <c r="FD43" s="8"/>
      <c r="FE43" s="11"/>
      <c r="FF43" s="8"/>
      <c r="FG43" s="8"/>
      <c r="FH43" s="8"/>
      <c r="FI43" s="8"/>
      <c r="FJ43" s="34"/>
      <c r="FK43" s="34"/>
      <c r="FL43" s="34"/>
      <c r="FM43" s="34"/>
      <c r="FN43" s="34"/>
      <c r="FO43" s="34"/>
      <c r="FP43" s="34"/>
      <c r="FQ43" s="34"/>
      <c r="FR43" s="5"/>
      <c r="FS43" s="5"/>
      <c r="FT43" s="5"/>
      <c r="FU43" s="5"/>
      <c r="FV43" s="8"/>
      <c r="FW43" s="8"/>
      <c r="FX43" s="8"/>
      <c r="FY43" s="8"/>
      <c r="FZ43" s="8"/>
      <c r="GA43" s="8"/>
      <c r="GB43" s="11"/>
      <c r="GC43" s="8"/>
      <c r="GD43" s="8"/>
      <c r="GE43" s="8"/>
      <c r="GF43" s="8"/>
      <c r="GG43" s="8"/>
      <c r="GH43" s="11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34"/>
      <c r="HD43" s="34"/>
      <c r="HE43" s="34"/>
      <c r="HF43" s="34"/>
      <c r="HG43" s="34"/>
      <c r="HH43" s="34"/>
      <c r="HI43" s="11"/>
      <c r="HJ43" s="8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F43" s="183"/>
      <c r="IG43" s="5"/>
      <c r="IH43" s="5"/>
      <c r="II43" s="5"/>
      <c r="IJ43" s="5"/>
      <c r="IK43" s="5"/>
      <c r="IL43" s="5"/>
      <c r="IM43" s="5"/>
      <c r="IN43" s="5"/>
      <c r="IO43" s="5"/>
    </row>
    <row r="44" spans="1:249" ht="15" customHeight="1" x14ac:dyDescent="0.3">
      <c r="A44" s="102" t="s">
        <v>402</v>
      </c>
      <c r="B44" s="177">
        <f>38148+15089+7777+11719+1055</f>
        <v>73788</v>
      </c>
      <c r="D44" s="181"/>
      <c r="E44" s="103"/>
      <c r="F44" s="59">
        <v>92044</v>
      </c>
      <c r="G44" s="181"/>
      <c r="H44" s="103"/>
      <c r="I44" s="186">
        <v>24219</v>
      </c>
      <c r="J44" s="181"/>
      <c r="K44" s="103"/>
      <c r="L44" s="103">
        <v>109</v>
      </c>
      <c r="M44" s="181"/>
      <c r="N44" s="103"/>
      <c r="O44" s="103">
        <v>74276</v>
      </c>
      <c r="P44" s="52"/>
      <c r="Q44" s="192"/>
      <c r="R44" s="103">
        <f>O44+L44+I44+F44</f>
        <v>190648</v>
      </c>
      <c r="S44" s="52"/>
      <c r="T44" s="192"/>
      <c r="U44" s="66">
        <f>R44+B44</f>
        <v>264436</v>
      </c>
      <c r="W44" s="182" t="s">
        <v>401</v>
      </c>
      <c r="X44" s="127"/>
      <c r="Y44" s="128">
        <f>179532-76056</f>
        <v>103476</v>
      </c>
      <c r="Z44" s="79"/>
      <c r="AA44" s="129"/>
      <c r="AB44" s="77">
        <f>+AB25/U15</f>
        <v>1.252366677185232</v>
      </c>
      <c r="AC44" s="130">
        <f>(213800/AC25)-1</f>
        <v>3.519568490928715E-2</v>
      </c>
      <c r="AM44" s="5"/>
      <c r="AN44" s="5"/>
      <c r="AO44" s="5"/>
      <c r="AP44" s="5"/>
      <c r="AQ44" s="8"/>
      <c r="AS44" s="46"/>
      <c r="AT44" s="46"/>
      <c r="AU44" s="46"/>
      <c r="AV44" s="46"/>
      <c r="AW44" s="46"/>
      <c r="AX44" s="46"/>
      <c r="AY44" s="5"/>
      <c r="AZ44" s="5"/>
      <c r="BA44" s="5"/>
      <c r="BB44" s="5"/>
      <c r="BD44" s="5"/>
      <c r="BE44" s="5"/>
      <c r="BF44" s="5"/>
      <c r="BG44" s="5"/>
      <c r="BH44" s="5"/>
      <c r="BI44" s="5"/>
      <c r="BJ44" s="5"/>
      <c r="BK44" s="5"/>
      <c r="BL44" s="34"/>
      <c r="BM44" s="8"/>
      <c r="BN44" s="8"/>
      <c r="BO44" s="8"/>
      <c r="BP44" s="8"/>
      <c r="BQ44" s="8"/>
      <c r="BR44" s="8"/>
      <c r="BS44" s="8"/>
      <c r="BT44" s="11"/>
      <c r="BU44" s="8"/>
      <c r="BV44" s="11"/>
      <c r="BW44" s="8"/>
      <c r="BX44" s="8"/>
      <c r="BY44" s="8"/>
      <c r="BZ44" s="8"/>
      <c r="CA44" s="8"/>
      <c r="CB44" s="8"/>
      <c r="CC44" s="8"/>
      <c r="CD44" s="34"/>
      <c r="CE44" s="8"/>
      <c r="CF44" s="8"/>
      <c r="CG44" s="8"/>
      <c r="CH44" s="72"/>
      <c r="CI44" s="71"/>
      <c r="CJ44" s="71"/>
      <c r="CK44" s="72"/>
      <c r="CL44" s="72"/>
      <c r="CM44" s="71"/>
      <c r="CN44" s="72"/>
      <c r="CO44" s="71"/>
      <c r="CP44" s="71"/>
      <c r="CQ44" s="11"/>
      <c r="CR44" s="71"/>
      <c r="CS44" s="71"/>
      <c r="CT44" s="71"/>
      <c r="CU44" s="71"/>
      <c r="CV44" s="72"/>
      <c r="CW44" s="72"/>
      <c r="CX44" s="71"/>
      <c r="CY44" s="71"/>
      <c r="CZ44" s="72"/>
      <c r="DA44" s="71"/>
      <c r="DB44" s="71"/>
      <c r="DC44" s="12"/>
      <c r="DD44" s="12"/>
      <c r="DE44" s="8"/>
      <c r="DF44" s="8"/>
      <c r="DG44" s="8"/>
      <c r="DH44" s="8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11"/>
      <c r="DT44" s="18"/>
      <c r="DU44" s="5"/>
      <c r="DV44" s="5"/>
      <c r="DW44" s="18"/>
      <c r="DX44" s="18"/>
      <c r="DY44" s="19"/>
      <c r="DZ44" s="34"/>
      <c r="EA44" s="34"/>
      <c r="EB44" s="34"/>
      <c r="EC44" s="34"/>
      <c r="ED44" s="34"/>
      <c r="EE44" s="34"/>
      <c r="EF44" s="34"/>
      <c r="EG44" s="34"/>
      <c r="EH44" s="34"/>
      <c r="EI44" s="8"/>
      <c r="EJ44" s="8"/>
      <c r="EK44" s="8"/>
      <c r="EL44" s="8"/>
      <c r="EM44" s="8"/>
      <c r="EN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34"/>
      <c r="FK44" s="34"/>
      <c r="FL44" s="34"/>
      <c r="FM44" s="34"/>
      <c r="FN44" s="34"/>
      <c r="FO44" s="34"/>
      <c r="FP44" s="34"/>
      <c r="FQ44" s="34"/>
      <c r="FR44" s="5"/>
      <c r="FS44" s="5"/>
      <c r="FT44" s="5"/>
      <c r="FU44" s="5"/>
      <c r="FV44" s="11"/>
      <c r="FW44" s="8"/>
      <c r="FX44" s="8"/>
      <c r="FY44" s="8"/>
      <c r="FZ44" s="8"/>
      <c r="GA44" s="8"/>
      <c r="GB44" s="11"/>
      <c r="GC44" s="8"/>
      <c r="GD44" s="8"/>
      <c r="GE44" s="8"/>
      <c r="GF44" s="8"/>
      <c r="GG44" s="8"/>
      <c r="GH44" s="11"/>
      <c r="GI44" s="8"/>
      <c r="GJ44" s="8"/>
      <c r="GK44" s="8"/>
      <c r="GL44" s="8"/>
      <c r="GM44" s="8"/>
      <c r="GN44" s="8"/>
      <c r="GO44" s="8"/>
      <c r="GP44" s="8"/>
      <c r="GQ44" s="8"/>
      <c r="GR44" s="11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34"/>
      <c r="HD44" s="34"/>
      <c r="HE44" s="34"/>
      <c r="HF44" s="34"/>
      <c r="HG44" s="34"/>
      <c r="HH44" s="34"/>
      <c r="HI44" s="8"/>
      <c r="HJ44" s="8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  <row r="45" spans="1:249" ht="18" customHeight="1" x14ac:dyDescent="0.3">
      <c r="A45" s="102" t="s">
        <v>406</v>
      </c>
      <c r="B45" s="177">
        <v>73634</v>
      </c>
      <c r="D45" s="181"/>
      <c r="E45" s="103"/>
      <c r="F45" s="59">
        <v>94742</v>
      </c>
      <c r="G45" s="181"/>
      <c r="H45" s="103"/>
      <c r="I45" s="186">
        <v>23253</v>
      </c>
      <c r="J45" s="181"/>
      <c r="K45" s="103"/>
      <c r="L45" s="103">
        <v>48</v>
      </c>
      <c r="M45" s="181"/>
      <c r="N45" s="103"/>
      <c r="O45" s="103">
        <v>76230</v>
      </c>
      <c r="P45" s="52"/>
      <c r="Q45" s="192"/>
      <c r="R45" s="103">
        <f>O45+L45+I45+F45</f>
        <v>194273</v>
      </c>
      <c r="S45" s="52"/>
      <c r="T45" s="192"/>
      <c r="U45" s="66">
        <f>R45+B45</f>
        <v>267907</v>
      </c>
      <c r="W45" s="182" t="s">
        <v>404</v>
      </c>
      <c r="X45" s="131">
        <f>137799-137616</f>
        <v>183</v>
      </c>
      <c r="Y45" s="132" t="e">
        <f>+#REF!/69646</f>
        <v>#REF!</v>
      </c>
      <c r="Z45" s="133"/>
      <c r="AA45" s="134">
        <f>+RATE(10,,-R15,R25)</f>
        <v>8.6712616974009851E-2</v>
      </c>
      <c r="AB45" s="135">
        <f>+RATE(10,,-U15,U25)</f>
        <v>8.1279560042655297E-2</v>
      </c>
      <c r="AC45" s="130" t="e">
        <f>+(135500-#REF!)/#REF!</f>
        <v>#REF!</v>
      </c>
      <c r="AD45" s="82"/>
      <c r="AE45" s="82"/>
      <c r="AM45" s="5"/>
      <c r="AN45" s="5"/>
      <c r="AO45" s="5"/>
      <c r="AP45" s="5"/>
      <c r="AQ45" s="5"/>
      <c r="AR45" s="5"/>
      <c r="AS45" s="6"/>
      <c r="AT45" s="5"/>
      <c r="AU45" s="5"/>
      <c r="AV45" s="5"/>
      <c r="AW45" s="5"/>
      <c r="AX45" s="5"/>
      <c r="AY45" s="5"/>
      <c r="AZ45" s="5"/>
      <c r="BA45" s="5"/>
      <c r="BB45" s="5"/>
      <c r="BD45" s="5"/>
      <c r="BE45" s="5"/>
      <c r="BF45" s="5"/>
      <c r="BG45" s="5"/>
      <c r="BH45" s="5"/>
      <c r="BI45" s="5"/>
      <c r="BJ45" s="5"/>
      <c r="BK45" s="5"/>
      <c r="BL45" s="34"/>
      <c r="BM45" s="8"/>
      <c r="BN45" s="8"/>
      <c r="BO45" s="8"/>
      <c r="BP45" s="8"/>
      <c r="BQ45" s="8"/>
      <c r="BR45" s="8"/>
      <c r="BS45" s="8"/>
      <c r="BT45" s="11"/>
      <c r="BU45" s="8"/>
      <c r="BV45" s="11"/>
      <c r="BW45" s="8"/>
      <c r="BX45" s="8"/>
      <c r="BY45" s="8"/>
      <c r="BZ45" s="8"/>
      <c r="CA45" s="8"/>
      <c r="CB45" s="8"/>
      <c r="CC45" s="8"/>
      <c r="CD45" s="34"/>
      <c r="CE45" s="8"/>
      <c r="CF45" s="8"/>
      <c r="CG45" s="8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12"/>
      <c r="DD45" s="12"/>
      <c r="DE45" s="8"/>
      <c r="DF45" s="8"/>
      <c r="DG45" s="8"/>
      <c r="DH45" s="8"/>
      <c r="DI45" s="34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9"/>
      <c r="DZ45" s="34"/>
      <c r="EA45" s="34"/>
      <c r="EB45" s="34"/>
      <c r="EC45" s="34"/>
      <c r="ED45" s="34"/>
      <c r="EE45" s="34"/>
      <c r="EF45" s="34"/>
      <c r="EG45" s="34"/>
      <c r="EH45" s="34"/>
      <c r="EI45" s="8"/>
      <c r="EJ45" s="8"/>
      <c r="EK45" s="8"/>
      <c r="EL45" s="8"/>
      <c r="EM45" s="8"/>
      <c r="EN45" s="8"/>
      <c r="EU45" s="11"/>
      <c r="EV45" s="8"/>
      <c r="EW45" s="11"/>
      <c r="EX45" s="11"/>
      <c r="EY45" s="8"/>
      <c r="EZ45" s="8"/>
      <c r="FA45" s="11"/>
      <c r="FB45" s="8"/>
      <c r="FC45" s="11"/>
      <c r="FD45" s="8"/>
      <c r="FE45" s="11"/>
      <c r="FF45" s="8"/>
      <c r="FG45" s="8"/>
      <c r="FH45" s="8"/>
      <c r="FI45" s="8"/>
      <c r="FJ45" s="34"/>
      <c r="FK45" s="34"/>
      <c r="FL45" s="34"/>
      <c r="FM45" s="34"/>
      <c r="FN45" s="34"/>
      <c r="FO45" s="34"/>
      <c r="FP45" s="34"/>
      <c r="FQ45" s="34"/>
      <c r="FR45" s="5"/>
      <c r="FS45" s="5"/>
      <c r="FT45" s="5"/>
      <c r="FU45" s="5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34"/>
      <c r="HD45" s="34"/>
      <c r="HE45" s="34"/>
      <c r="HF45" s="34"/>
      <c r="HG45" s="34"/>
      <c r="HH45" s="34"/>
      <c r="HI45" s="11"/>
      <c r="HJ45" s="8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1:249" x14ac:dyDescent="0.3">
      <c r="X46" s="131"/>
      <c r="Y46" s="132"/>
      <c r="Z46" s="133"/>
      <c r="AA46" s="134"/>
      <c r="AB46" s="135"/>
      <c r="AC46" s="130"/>
      <c r="AD46" s="82"/>
      <c r="AE46" s="82"/>
      <c r="AM46" s="5"/>
      <c r="AN46" s="5"/>
      <c r="AO46" s="5"/>
      <c r="AP46" s="5"/>
      <c r="AQ46" s="5"/>
      <c r="AR46" s="5"/>
      <c r="AS46" s="6"/>
      <c r="AT46" s="5"/>
      <c r="AU46" s="5"/>
      <c r="AV46" s="5"/>
      <c r="AW46" s="5"/>
      <c r="AX46" s="5"/>
      <c r="AY46" s="5"/>
      <c r="AZ46" s="5"/>
      <c r="BA46" s="5"/>
      <c r="BB46" s="5"/>
      <c r="BD46" s="5"/>
      <c r="BE46" s="5"/>
      <c r="BF46" s="5"/>
      <c r="BG46" s="5"/>
      <c r="BH46" s="5"/>
      <c r="BI46" s="5"/>
      <c r="BJ46" s="5"/>
      <c r="BK46" s="5"/>
      <c r="BL46" s="34"/>
      <c r="BM46" s="8"/>
      <c r="BN46" s="8"/>
      <c r="BO46" s="8"/>
      <c r="BP46" s="8"/>
      <c r="BQ46" s="8"/>
      <c r="BR46" s="8"/>
      <c r="BS46" s="8"/>
      <c r="BT46" s="11"/>
      <c r="BU46" s="8"/>
      <c r="BV46" s="11"/>
      <c r="BW46" s="8"/>
      <c r="BX46" s="8"/>
      <c r="BY46" s="8"/>
      <c r="BZ46" s="8"/>
      <c r="CA46" s="8"/>
      <c r="CB46" s="8"/>
      <c r="CC46" s="8"/>
      <c r="CD46" s="34"/>
      <c r="CE46" s="8"/>
      <c r="CF46" s="8"/>
      <c r="CG46" s="8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12"/>
      <c r="DD46" s="12"/>
      <c r="DE46" s="8"/>
      <c r="DF46" s="8"/>
      <c r="DG46" s="8"/>
      <c r="DH46" s="8"/>
      <c r="DI46" s="34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9"/>
      <c r="DZ46" s="34"/>
      <c r="EA46" s="34"/>
      <c r="EB46" s="34"/>
      <c r="EC46" s="34"/>
      <c r="ED46" s="34"/>
      <c r="EE46" s="34"/>
      <c r="EF46" s="34"/>
      <c r="EG46" s="34"/>
      <c r="EH46" s="34"/>
      <c r="EI46" s="8"/>
      <c r="EJ46" s="8"/>
      <c r="EK46" s="8"/>
      <c r="EL46" s="8"/>
      <c r="EM46" s="8"/>
      <c r="EN46" s="8"/>
      <c r="EU46" s="11"/>
      <c r="EV46" s="8"/>
      <c r="EW46" s="11"/>
      <c r="EX46" s="11"/>
      <c r="EY46" s="8"/>
      <c r="EZ46" s="8"/>
      <c r="FA46" s="11"/>
      <c r="FB46" s="8"/>
      <c r="FC46" s="11"/>
      <c r="FD46" s="8"/>
      <c r="FE46" s="11"/>
      <c r="FF46" s="8"/>
      <c r="FG46" s="8"/>
      <c r="FH46" s="8"/>
      <c r="FI46" s="8"/>
      <c r="FJ46" s="34"/>
      <c r="FK46" s="34"/>
      <c r="FL46" s="34"/>
      <c r="FM46" s="34"/>
      <c r="FN46" s="34"/>
      <c r="FO46" s="34"/>
      <c r="FP46" s="34"/>
      <c r="FQ46" s="34"/>
      <c r="FR46" s="5"/>
      <c r="FS46" s="5"/>
      <c r="FT46" s="5"/>
      <c r="FU46" s="5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34"/>
      <c r="HD46" s="34"/>
      <c r="HE46" s="34"/>
      <c r="HF46" s="34"/>
      <c r="HG46" s="34"/>
      <c r="HH46" s="34"/>
      <c r="HI46" s="11"/>
      <c r="HJ46" s="8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</row>
    <row r="47" spans="1:249" ht="15" customHeight="1" x14ac:dyDescent="0.3">
      <c r="A47" s="161" t="s">
        <v>205</v>
      </c>
      <c r="B47" s="162"/>
      <c r="C47" s="162"/>
      <c r="D47" s="162"/>
      <c r="E47" s="162"/>
      <c r="F47" s="163"/>
      <c r="G47" s="162"/>
      <c r="H47" s="162"/>
      <c r="I47" s="164"/>
      <c r="J47" s="162"/>
      <c r="K47" s="162"/>
      <c r="L47" s="165"/>
      <c r="M47" s="162"/>
      <c r="N47" s="162"/>
      <c r="O47" s="163"/>
      <c r="P47" s="162"/>
      <c r="Q47" s="166"/>
      <c r="R47" s="167"/>
      <c r="S47" s="162"/>
      <c r="T47" s="162"/>
      <c r="U47" s="163"/>
      <c r="V47" s="165"/>
      <c r="W47" s="168" t="s">
        <v>206</v>
      </c>
      <c r="X47" s="136"/>
      <c r="Y47" s="136"/>
      <c r="Z47" s="136"/>
      <c r="AA47" s="136"/>
      <c r="AB47" s="136"/>
      <c r="AD47" s="82"/>
      <c r="AE47" s="82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6" t="s">
        <v>219</v>
      </c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71" t="e">
        <f>#REF!/#REF!*100</f>
        <v>#REF!</v>
      </c>
      <c r="CI47" s="71" t="e">
        <f>#REF!/#REF!*100</f>
        <v>#REF!</v>
      </c>
      <c r="CJ47" s="71" t="e">
        <f>#REF!/#REF!*100</f>
        <v>#REF!</v>
      </c>
      <c r="CK47" s="71" t="e">
        <f>#REF!/#REF!*100</f>
        <v>#REF!</v>
      </c>
      <c r="CL47" s="71" t="e">
        <f>#REF!/#REF!*100</f>
        <v>#REF!</v>
      </c>
      <c r="CM47" s="71" t="e">
        <f t="shared" ref="CM47:CM52" si="17">CL47+CJ47+CI47+CH47</f>
        <v>#REF!</v>
      </c>
      <c r="CN47" s="72" t="s">
        <v>144</v>
      </c>
      <c r="CO47" s="71"/>
      <c r="CP47" s="71"/>
      <c r="CQ47" s="72" t="s">
        <v>145</v>
      </c>
      <c r="CR47" s="71"/>
      <c r="CS47" s="71"/>
      <c r="CT47" s="71"/>
      <c r="CU47" s="138" t="e">
        <f t="shared" ref="CU47:CU52" si="18">CM47</f>
        <v>#REF!</v>
      </c>
      <c r="CV47" s="138" t="e">
        <f t="shared" ref="CV47:CV52" si="19">CL47</f>
        <v>#REF!</v>
      </c>
      <c r="CW47" s="138" t="e">
        <f t="shared" ref="CW47:CW52" si="20">CK47</f>
        <v>#REF!</v>
      </c>
      <c r="CX47" s="138" t="e">
        <f t="shared" ref="CX47:CX52" si="21">CJ47</f>
        <v>#REF!</v>
      </c>
      <c r="CY47" s="138" t="e">
        <f t="shared" ref="CY47:CY52" si="22">CI47</f>
        <v>#REF!</v>
      </c>
      <c r="CZ47" s="138" t="e">
        <f t="shared" ref="CZ47:CZ52" si="23">CH47</f>
        <v>#REF!</v>
      </c>
      <c r="DA47" s="18"/>
      <c r="DB47" s="18"/>
      <c r="DC47" s="12">
        <v>713</v>
      </c>
      <c r="DD47" s="12">
        <v>657</v>
      </c>
      <c r="DE47" s="8">
        <v>690</v>
      </c>
      <c r="DF47" s="8">
        <v>665</v>
      </c>
      <c r="DG47" s="8">
        <v>617</v>
      </c>
      <c r="DH47" s="8">
        <v>563</v>
      </c>
      <c r="DI47" s="34">
        <v>542</v>
      </c>
      <c r="DJ47" s="34">
        <v>511</v>
      </c>
      <c r="DK47" s="34">
        <v>461</v>
      </c>
      <c r="DL47" s="34">
        <v>411</v>
      </c>
      <c r="DM47" s="34">
        <v>395</v>
      </c>
      <c r="DN47" s="34">
        <v>356</v>
      </c>
      <c r="DO47" s="34">
        <v>374</v>
      </c>
      <c r="DP47" s="34">
        <v>363</v>
      </c>
      <c r="DQ47" s="34">
        <v>437</v>
      </c>
      <c r="DR47" s="34">
        <v>270</v>
      </c>
      <c r="DS47" s="11" t="s">
        <v>146</v>
      </c>
      <c r="DT47" s="18"/>
      <c r="DU47" s="18"/>
      <c r="DV47" s="18"/>
      <c r="DW47" s="18"/>
      <c r="DX47" s="18"/>
      <c r="DY47" s="19" t="s">
        <v>182</v>
      </c>
      <c r="DZ47" s="34">
        <v>5</v>
      </c>
      <c r="EA47" s="34" t="s">
        <v>124</v>
      </c>
      <c r="EB47" s="34">
        <v>12</v>
      </c>
      <c r="EC47" s="34">
        <v>12</v>
      </c>
      <c r="ED47" s="34">
        <v>74</v>
      </c>
      <c r="EE47" s="34">
        <v>45</v>
      </c>
      <c r="EF47" s="34">
        <v>30</v>
      </c>
      <c r="EG47" s="34">
        <v>14</v>
      </c>
      <c r="EH47" s="34">
        <v>15</v>
      </c>
      <c r="EI47" s="8" t="e">
        <f>#REF!</f>
        <v>#REF!</v>
      </c>
      <c r="EJ47" s="8" t="e">
        <f>#REF!</f>
        <v>#REF!</v>
      </c>
      <c r="EK47" s="8" t="e">
        <f>#REF!</f>
        <v>#REF!</v>
      </c>
      <c r="EL47" s="34" t="e">
        <f>#REF!</f>
        <v>#REF!</v>
      </c>
      <c r="EM47" s="34" t="e">
        <f>#REF!</f>
        <v>#REF!</v>
      </c>
      <c r="EN47" s="34" t="e">
        <f>#REF!</f>
        <v>#REF!</v>
      </c>
      <c r="EU47" s="34"/>
      <c r="EV47" s="34"/>
      <c r="EW47" s="34"/>
      <c r="EX47" s="34"/>
      <c r="EY47" s="34"/>
      <c r="EZ47" s="34"/>
      <c r="FA47" s="34"/>
      <c r="FB47" s="34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</row>
    <row r="48" spans="1:249" ht="15" customHeight="1" x14ac:dyDescent="0.3">
      <c r="A48" s="169" t="s">
        <v>348</v>
      </c>
      <c r="B48" s="167"/>
      <c r="C48" s="167">
        <f>(C21/C20-1)*100</f>
        <v>0.22445235782886375</v>
      </c>
      <c r="D48" s="167"/>
      <c r="E48" s="167"/>
      <c r="F48" s="167"/>
      <c r="G48" s="167"/>
      <c r="H48" s="167"/>
      <c r="I48" s="170"/>
      <c r="J48" s="170"/>
      <c r="K48" s="170"/>
      <c r="L48" s="171"/>
      <c r="M48" s="171"/>
      <c r="N48" s="171"/>
      <c r="O48" s="172"/>
      <c r="P48" s="172"/>
      <c r="Q48" s="172"/>
      <c r="R48" s="170"/>
      <c r="S48" s="170"/>
      <c r="T48" s="170"/>
      <c r="U48" s="172"/>
      <c r="V48" s="172"/>
      <c r="W48" s="193" t="s">
        <v>393</v>
      </c>
      <c r="X48" s="131"/>
      <c r="Y48" s="131"/>
      <c r="Z48" s="131"/>
      <c r="AA48" s="131"/>
      <c r="AB48" s="131"/>
      <c r="AD48" s="82"/>
      <c r="AE48" s="82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6" t="s">
        <v>220</v>
      </c>
      <c r="BZ48" s="5"/>
      <c r="CA48" s="5"/>
      <c r="CB48" s="5"/>
      <c r="CC48" s="5"/>
      <c r="CD48" s="5"/>
      <c r="CE48" s="5"/>
      <c r="CF48" s="5"/>
      <c r="CG48" s="5"/>
      <c r="CH48" s="71" t="e">
        <f>#REF!/#REF!*100</f>
        <v>#REF!</v>
      </c>
      <c r="CI48" s="71" t="e">
        <f>#REF!/#REF!*100</f>
        <v>#REF!</v>
      </c>
      <c r="CJ48" s="71" t="e">
        <f>#REF!/#REF!*100</f>
        <v>#REF!</v>
      </c>
      <c r="CK48" s="71" t="e">
        <f>#REF!/#REF!*100</f>
        <v>#REF!</v>
      </c>
      <c r="CL48" s="71" t="e">
        <f>#REF!/#REF!*100</f>
        <v>#REF!</v>
      </c>
      <c r="CM48" s="71" t="e">
        <f t="shared" si="17"/>
        <v>#REF!</v>
      </c>
      <c r="CN48" s="72" t="s">
        <v>175</v>
      </c>
      <c r="CO48" s="71"/>
      <c r="CP48" s="71"/>
      <c r="CQ48" s="72" t="s">
        <v>176</v>
      </c>
      <c r="CR48" s="71"/>
      <c r="CS48" s="71"/>
      <c r="CT48" s="71"/>
      <c r="CU48" s="138" t="e">
        <f t="shared" si="18"/>
        <v>#REF!</v>
      </c>
      <c r="CV48" s="138" t="e">
        <f t="shared" si="19"/>
        <v>#REF!</v>
      </c>
      <c r="CW48" s="138" t="e">
        <f t="shared" si="20"/>
        <v>#REF!</v>
      </c>
      <c r="CX48" s="138" t="e">
        <f t="shared" si="21"/>
        <v>#REF!</v>
      </c>
      <c r="CY48" s="138" t="e">
        <f t="shared" si="22"/>
        <v>#REF!</v>
      </c>
      <c r="CZ48" s="138" t="e">
        <f t="shared" si="23"/>
        <v>#REF!</v>
      </c>
      <c r="DA48" s="18"/>
      <c r="DB48" s="18"/>
      <c r="DC48" s="12">
        <v>358</v>
      </c>
      <c r="DD48" s="12">
        <v>322</v>
      </c>
      <c r="DE48" s="8">
        <v>308</v>
      </c>
      <c r="DF48" s="73">
        <v>263</v>
      </c>
      <c r="DG48" s="8">
        <v>234</v>
      </c>
      <c r="DH48" s="8">
        <v>226</v>
      </c>
      <c r="DI48" s="34">
        <v>228</v>
      </c>
      <c r="DJ48" s="34">
        <v>239</v>
      </c>
      <c r="DK48" s="34">
        <v>194</v>
      </c>
      <c r="DL48" s="34">
        <v>175</v>
      </c>
      <c r="DM48" s="34">
        <v>150</v>
      </c>
      <c r="DN48" s="34">
        <v>147</v>
      </c>
      <c r="DO48" s="34">
        <v>147</v>
      </c>
      <c r="DP48" s="34">
        <v>132</v>
      </c>
      <c r="DQ48" s="34">
        <v>76</v>
      </c>
      <c r="DR48" s="34">
        <v>38</v>
      </c>
      <c r="DS48" s="11" t="s">
        <v>155</v>
      </c>
      <c r="DT48" s="18"/>
      <c r="DU48" s="18"/>
      <c r="DV48" s="18"/>
      <c r="DW48" s="18"/>
      <c r="DX48" s="18"/>
      <c r="DY48" s="19" t="s">
        <v>181</v>
      </c>
      <c r="DZ48" s="34" t="s">
        <v>124</v>
      </c>
      <c r="EA48" s="34" t="s">
        <v>124</v>
      </c>
      <c r="EB48" s="34" t="s">
        <v>124</v>
      </c>
      <c r="EC48" s="34" t="s">
        <v>124</v>
      </c>
      <c r="ED48" s="34" t="s">
        <v>124</v>
      </c>
      <c r="EE48" s="34" t="s">
        <v>124</v>
      </c>
      <c r="EF48" s="34" t="s">
        <v>124</v>
      </c>
      <c r="EG48" s="34" t="s">
        <v>124</v>
      </c>
      <c r="EH48" s="34" t="s">
        <v>124</v>
      </c>
      <c r="EI48" s="34" t="e">
        <f>#REF!</f>
        <v>#REF!</v>
      </c>
      <c r="EJ48" s="34" t="e">
        <f>#REF!</f>
        <v>#REF!</v>
      </c>
      <c r="EK48" s="34" t="e">
        <f>#REF!</f>
        <v>#REF!</v>
      </c>
      <c r="EL48" s="34" t="e">
        <f>#REF!</f>
        <v>#REF!</v>
      </c>
      <c r="EM48" s="34" t="e">
        <f>#REF!</f>
        <v>#REF!</v>
      </c>
      <c r="EN48" s="34" t="e">
        <f>#REF!</f>
        <v>#REF!</v>
      </c>
      <c r="EU48" s="34" t="s">
        <v>124</v>
      </c>
      <c r="EV48" s="34" t="s">
        <v>124</v>
      </c>
      <c r="EW48" s="34" t="s">
        <v>124</v>
      </c>
      <c r="EX48" s="34">
        <v>1111</v>
      </c>
      <c r="EY48" s="34">
        <v>3189</v>
      </c>
      <c r="EZ48" s="34">
        <v>94</v>
      </c>
      <c r="FA48" s="34">
        <v>509</v>
      </c>
      <c r="FB48" s="34">
        <f>SUM(EU48:FA48)</f>
        <v>4903</v>
      </c>
      <c r="FC48" s="11" t="s">
        <v>162</v>
      </c>
      <c r="FD48" s="8"/>
      <c r="FE48" s="11" t="s">
        <v>169</v>
      </c>
      <c r="FF48" s="8"/>
      <c r="FG48" s="8"/>
      <c r="FH48" s="8"/>
      <c r="FI48" s="8"/>
      <c r="FJ48" s="8">
        <f>FB48</f>
        <v>4903</v>
      </c>
      <c r="FK48" s="8">
        <f>FA48</f>
        <v>509</v>
      </c>
      <c r="FL48" s="8">
        <f>EZ48</f>
        <v>94</v>
      </c>
      <c r="FM48" s="8">
        <f>EY48</f>
        <v>3189</v>
      </c>
      <c r="FN48" s="8">
        <f>EX48</f>
        <v>1111</v>
      </c>
      <c r="FO48" s="11" t="s">
        <v>124</v>
      </c>
      <c r="FP48" s="11" t="s">
        <v>124</v>
      </c>
      <c r="FQ48" s="11" t="s">
        <v>124</v>
      </c>
      <c r="FR48" s="8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</row>
    <row r="49" spans="1:249" ht="15" customHeight="1" x14ac:dyDescent="0.3">
      <c r="A49" s="190" t="s">
        <v>392</v>
      </c>
      <c r="B49" s="167"/>
      <c r="C49" s="167"/>
      <c r="D49" s="167"/>
      <c r="E49" s="167"/>
      <c r="F49" s="167"/>
      <c r="G49" s="167"/>
      <c r="H49" s="167"/>
      <c r="I49" s="170"/>
      <c r="J49" s="170"/>
      <c r="K49" s="170"/>
      <c r="L49" s="171"/>
      <c r="M49" s="171"/>
      <c r="N49" s="171"/>
      <c r="O49" s="172"/>
      <c r="P49" s="172"/>
      <c r="Q49" s="172"/>
      <c r="R49" s="170"/>
      <c r="S49" s="170"/>
      <c r="T49" s="170"/>
      <c r="U49" s="172"/>
      <c r="V49" s="172"/>
      <c r="W49" s="194" t="s">
        <v>390</v>
      </c>
      <c r="X49" s="131"/>
      <c r="Y49" s="136"/>
      <c r="Z49" s="136"/>
      <c r="AA49" s="136"/>
      <c r="AB49" s="136"/>
      <c r="AD49" s="82"/>
      <c r="AE49" s="82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71" t="e">
        <f>#REF!/#REF!*100</f>
        <v>#REF!</v>
      </c>
      <c r="CI49" s="71" t="e">
        <f>#REF!/#REF!*100</f>
        <v>#REF!</v>
      </c>
      <c r="CJ49" s="71" t="e">
        <f>#REF!/#REF!*100</f>
        <v>#REF!</v>
      </c>
      <c r="CK49" s="71" t="e">
        <f>#REF!/#REF!*100</f>
        <v>#REF!</v>
      </c>
      <c r="CL49" s="71" t="e">
        <f>#REF!/#REF!*100</f>
        <v>#REF!</v>
      </c>
      <c r="CM49" s="71" t="e">
        <f t="shared" si="17"/>
        <v>#REF!</v>
      </c>
      <c r="CN49" s="72" t="s">
        <v>177</v>
      </c>
      <c r="CO49" s="71"/>
      <c r="CP49" s="71"/>
      <c r="CQ49" s="72" t="s">
        <v>178</v>
      </c>
      <c r="CR49" s="71"/>
      <c r="CS49" s="71"/>
      <c r="CT49" s="71"/>
      <c r="CU49" s="138" t="e">
        <f t="shared" si="18"/>
        <v>#REF!</v>
      </c>
      <c r="CV49" s="138" t="e">
        <f t="shared" si="19"/>
        <v>#REF!</v>
      </c>
      <c r="CW49" s="138" t="e">
        <f t="shared" si="20"/>
        <v>#REF!</v>
      </c>
      <c r="CX49" s="138" t="e">
        <f t="shared" si="21"/>
        <v>#REF!</v>
      </c>
      <c r="CY49" s="138" t="e">
        <f t="shared" si="22"/>
        <v>#REF!</v>
      </c>
      <c r="CZ49" s="138" t="e">
        <f t="shared" si="23"/>
        <v>#REF!</v>
      </c>
      <c r="DA49" s="18"/>
      <c r="DB49" s="18"/>
      <c r="DC49" s="12">
        <v>140</v>
      </c>
      <c r="DD49" s="12">
        <v>135</v>
      </c>
      <c r="DE49" s="8">
        <v>126</v>
      </c>
      <c r="DF49" s="73">
        <v>117</v>
      </c>
      <c r="DG49" s="8">
        <v>117</v>
      </c>
      <c r="DH49" s="8">
        <v>89</v>
      </c>
      <c r="DI49" s="34">
        <v>87</v>
      </c>
      <c r="DJ49" s="34">
        <v>78</v>
      </c>
      <c r="DK49" s="34">
        <v>68</v>
      </c>
      <c r="DL49" s="34">
        <v>67</v>
      </c>
      <c r="DM49" s="34">
        <v>54</v>
      </c>
      <c r="DN49" s="34">
        <v>49</v>
      </c>
      <c r="DO49" s="34">
        <v>51</v>
      </c>
      <c r="DP49" s="34">
        <v>45</v>
      </c>
      <c r="DQ49" s="34">
        <v>47</v>
      </c>
      <c r="DR49" s="34">
        <v>29</v>
      </c>
      <c r="DS49" s="11" t="s">
        <v>153</v>
      </c>
      <c r="DT49" s="18"/>
      <c r="DU49" s="18"/>
      <c r="DV49" s="18"/>
      <c r="DW49" s="18"/>
      <c r="DX49" s="18"/>
      <c r="DY49" s="19" t="s">
        <v>208</v>
      </c>
      <c r="DZ49" s="34" t="s">
        <v>124</v>
      </c>
      <c r="EA49" s="34" t="s">
        <v>124</v>
      </c>
      <c r="EB49" s="34" t="s">
        <v>124</v>
      </c>
      <c r="EC49" s="34" t="s">
        <v>124</v>
      </c>
      <c r="ED49" s="34" t="s">
        <v>124</v>
      </c>
      <c r="EE49" s="34" t="s">
        <v>124</v>
      </c>
      <c r="EF49" s="34" t="s">
        <v>124</v>
      </c>
      <c r="EG49" s="34" t="s">
        <v>124</v>
      </c>
      <c r="EH49" s="34" t="s">
        <v>124</v>
      </c>
      <c r="EI49" s="34" t="e">
        <f>#REF!</f>
        <v>#REF!</v>
      </c>
      <c r="EJ49" s="34" t="e">
        <f>#REF!</f>
        <v>#REF!</v>
      </c>
      <c r="EK49" s="34" t="e">
        <f>#REF!</f>
        <v>#REF!</v>
      </c>
      <c r="EL49" s="34" t="e">
        <f>#REF!</f>
        <v>#REF!</v>
      </c>
      <c r="EM49" s="34" t="e">
        <f>#REF!</f>
        <v>#REF!</v>
      </c>
      <c r="EN49" s="34" t="e">
        <f>#REF!</f>
        <v>#REF!</v>
      </c>
      <c r="EU49" s="34"/>
      <c r="EV49" s="34"/>
      <c r="EW49" s="34"/>
      <c r="EX49" s="34"/>
      <c r="EY49" s="34"/>
      <c r="EZ49" s="34"/>
      <c r="FA49" s="34"/>
      <c r="FB49" s="34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249" x14ac:dyDescent="0.3">
      <c r="A50" s="173" t="s">
        <v>349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95" t="s">
        <v>394</v>
      </c>
      <c r="X50" s="131"/>
      <c r="Y50" s="131"/>
      <c r="Z50" s="131"/>
      <c r="AA50" s="131"/>
      <c r="AB50" s="131"/>
      <c r="AD50" s="82"/>
      <c r="AE50" s="82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6" t="s">
        <v>35</v>
      </c>
      <c r="BV50" s="6" t="s">
        <v>36</v>
      </c>
      <c r="BW50" s="6" t="s">
        <v>7</v>
      </c>
      <c r="BX50" s="6" t="s">
        <v>161</v>
      </c>
      <c r="BY50" s="6" t="s">
        <v>39</v>
      </c>
      <c r="BZ50" s="6" t="s">
        <v>40</v>
      </c>
      <c r="CA50" s="5"/>
      <c r="CB50" s="5"/>
      <c r="CC50" s="5"/>
      <c r="CD50" s="5"/>
      <c r="CE50" s="5"/>
      <c r="CF50" s="5"/>
      <c r="CG50" s="5"/>
      <c r="CH50" s="71" t="e">
        <f>#REF!/#REF!*100</f>
        <v>#REF!</v>
      </c>
      <c r="CI50" s="71" t="e">
        <f>#REF!/#REF!*100</f>
        <v>#REF!</v>
      </c>
      <c r="CJ50" s="71" t="e">
        <f>#REF!/#REF!*100</f>
        <v>#REF!</v>
      </c>
      <c r="CK50" s="71" t="e">
        <f>#REF!/#REF!*100</f>
        <v>#REF!</v>
      </c>
      <c r="CL50" s="71" t="e">
        <f>#REF!/#REF!*100</f>
        <v>#REF!</v>
      </c>
      <c r="CM50" s="71" t="e">
        <f t="shared" si="17"/>
        <v>#REF!</v>
      </c>
      <c r="CN50" s="72" t="s">
        <v>149</v>
      </c>
      <c r="CO50" s="71"/>
      <c r="CP50" s="71"/>
      <c r="CQ50" s="72" t="s">
        <v>150</v>
      </c>
      <c r="CR50" s="71"/>
      <c r="CS50" s="71"/>
      <c r="CT50" s="71"/>
      <c r="CU50" s="138" t="e">
        <f t="shared" si="18"/>
        <v>#REF!</v>
      </c>
      <c r="CV50" s="138" t="e">
        <f t="shared" si="19"/>
        <v>#REF!</v>
      </c>
      <c r="CW50" s="138" t="e">
        <f t="shared" si="20"/>
        <v>#REF!</v>
      </c>
      <c r="CX50" s="138" t="e">
        <f t="shared" si="21"/>
        <v>#REF!</v>
      </c>
      <c r="CY50" s="138" t="e">
        <f t="shared" si="22"/>
        <v>#REF!</v>
      </c>
      <c r="CZ50" s="138" t="e">
        <f t="shared" si="23"/>
        <v>#REF!</v>
      </c>
      <c r="DA50" s="18"/>
      <c r="DB50" s="18"/>
      <c r="DC50" s="12">
        <v>3</v>
      </c>
      <c r="DD50" s="12">
        <v>2</v>
      </c>
      <c r="DE50" s="8">
        <v>1</v>
      </c>
      <c r="DF50" s="8">
        <v>1</v>
      </c>
      <c r="DG50" s="8">
        <v>1</v>
      </c>
      <c r="DH50" s="8">
        <v>1</v>
      </c>
      <c r="DI50" s="34">
        <v>2</v>
      </c>
      <c r="DJ50" s="34">
        <v>3</v>
      </c>
      <c r="DK50" s="34">
        <v>3</v>
      </c>
      <c r="DL50" s="34">
        <v>2</v>
      </c>
      <c r="DM50" s="34">
        <v>1</v>
      </c>
      <c r="DN50" s="34">
        <v>2</v>
      </c>
      <c r="DO50" s="34">
        <v>1</v>
      </c>
      <c r="DP50" s="34">
        <v>3</v>
      </c>
      <c r="DQ50" s="34">
        <v>3</v>
      </c>
      <c r="DR50" s="34" t="s">
        <v>124</v>
      </c>
      <c r="DS50" s="11" t="s">
        <v>151</v>
      </c>
      <c r="DT50" s="18"/>
      <c r="DU50" s="18"/>
      <c r="DV50" s="18"/>
      <c r="DW50" s="18"/>
      <c r="DX50" s="18"/>
      <c r="DY50" s="6" t="s">
        <v>221</v>
      </c>
      <c r="DZ50" s="18"/>
      <c r="EA50" s="18"/>
      <c r="EB50" s="18"/>
      <c r="EC50" s="18"/>
      <c r="ED50" s="18"/>
      <c r="EE50" s="18"/>
      <c r="EF50" s="18"/>
      <c r="EG50" s="18"/>
      <c r="EH50" s="18"/>
      <c r="EI50" s="5"/>
      <c r="EJ50" s="18"/>
      <c r="EK50" s="18"/>
      <c r="EL50" s="18"/>
      <c r="EU50" s="34" t="s">
        <v>124</v>
      </c>
      <c r="EV50" s="34" t="s">
        <v>124</v>
      </c>
      <c r="EW50" s="34">
        <v>230</v>
      </c>
      <c r="EX50" s="34">
        <v>527</v>
      </c>
      <c r="EY50" s="34">
        <v>1400</v>
      </c>
      <c r="EZ50" s="34" t="s">
        <v>124</v>
      </c>
      <c r="FA50" s="34">
        <v>969</v>
      </c>
      <c r="FB50" s="34">
        <f>SUM(EU50:FA50)</f>
        <v>3126</v>
      </c>
      <c r="FC50" s="11" t="s">
        <v>172</v>
      </c>
      <c r="FD50" s="8"/>
      <c r="FE50" s="11" t="s">
        <v>163</v>
      </c>
      <c r="FF50" s="8"/>
      <c r="FG50" s="8"/>
      <c r="FH50" s="8"/>
      <c r="FI50" s="8"/>
      <c r="FJ50" s="8">
        <f>FB50</f>
        <v>3126</v>
      </c>
      <c r="FK50" s="8">
        <f>FA50</f>
        <v>969</v>
      </c>
      <c r="FL50" s="11" t="s">
        <v>124</v>
      </c>
      <c r="FM50" s="8">
        <f>EY50</f>
        <v>1400</v>
      </c>
      <c r="FN50" s="8">
        <f>EX50</f>
        <v>527</v>
      </c>
      <c r="FO50" s="8">
        <f>EW50</f>
        <v>230</v>
      </c>
      <c r="FP50" s="11" t="s">
        <v>124</v>
      </c>
      <c r="FQ50" s="11" t="s">
        <v>124</v>
      </c>
      <c r="FR50" s="8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</row>
    <row r="51" spans="1:249" s="198" customFormat="1" x14ac:dyDescent="0.3">
      <c r="A51" s="169" t="s">
        <v>350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96" t="s">
        <v>347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73">
        <f t="shared" ref="BT51:BT57" si="24">BU51/BZ51</f>
        <v>1.3544369486248053</v>
      </c>
      <c r="BU51" s="8">
        <f>CM154</f>
        <v>26100</v>
      </c>
      <c r="BV51" s="8">
        <f>BZ14</f>
        <v>0</v>
      </c>
      <c r="BW51" s="8">
        <v>19440</v>
      </c>
      <c r="BX51" s="8" t="e">
        <f>#REF!</f>
        <v>#REF!</v>
      </c>
      <c r="BY51" s="8">
        <v>21530</v>
      </c>
      <c r="BZ51" s="8">
        <v>19270</v>
      </c>
      <c r="CA51" s="11" t="s">
        <v>175</v>
      </c>
      <c r="CB51" s="5"/>
      <c r="CC51" s="5"/>
      <c r="CD51" s="5"/>
      <c r="CE51" s="8"/>
      <c r="CF51" s="5"/>
      <c r="CG51" s="5"/>
      <c r="CH51" s="71" t="e">
        <f>#REF!/#REF!*100</f>
        <v>#REF!</v>
      </c>
      <c r="CI51" s="71" t="e">
        <f>#REF!/#REF!*100</f>
        <v>#REF!</v>
      </c>
      <c r="CJ51" s="71" t="e">
        <f>#REF!/#REF!*100</f>
        <v>#REF!</v>
      </c>
      <c r="CK51" s="71" t="e">
        <f>#REF!/#REF!*100</f>
        <v>#REF!</v>
      </c>
      <c r="CL51" s="71" t="e">
        <f>#REF!/#REF!*100</f>
        <v>#REF!</v>
      </c>
      <c r="CM51" s="71" t="e">
        <f t="shared" si="17"/>
        <v>#REF!</v>
      </c>
      <c r="CN51" s="72" t="s">
        <v>183</v>
      </c>
      <c r="CO51" s="71"/>
      <c r="CP51" s="71"/>
      <c r="CQ51" s="72" t="s">
        <v>184</v>
      </c>
      <c r="CR51" s="71"/>
      <c r="CS51" s="71"/>
      <c r="CT51" s="71"/>
      <c r="CU51" s="138" t="e">
        <f t="shared" si="18"/>
        <v>#REF!</v>
      </c>
      <c r="CV51" s="138" t="e">
        <f t="shared" si="19"/>
        <v>#REF!</v>
      </c>
      <c r="CW51" s="138" t="e">
        <f t="shared" si="20"/>
        <v>#REF!</v>
      </c>
      <c r="CX51" s="138" t="e">
        <f t="shared" si="21"/>
        <v>#REF!</v>
      </c>
      <c r="CY51" s="138" t="e">
        <f t="shared" si="22"/>
        <v>#REF!</v>
      </c>
      <c r="CZ51" s="138" t="e">
        <f t="shared" si="23"/>
        <v>#REF!</v>
      </c>
      <c r="DA51" s="18"/>
      <c r="DB51" s="18"/>
      <c r="DC51" s="12"/>
      <c r="DD51" s="12"/>
      <c r="DE51" s="8"/>
      <c r="DF51" s="8"/>
      <c r="DG51" s="8"/>
      <c r="DH51" s="8"/>
      <c r="DI51" s="34"/>
      <c r="DJ51" s="18"/>
      <c r="DK51" s="18"/>
      <c r="DL51" s="18"/>
      <c r="DM51" s="18"/>
      <c r="DN51" s="18"/>
      <c r="DO51" s="18"/>
      <c r="DP51" s="18"/>
      <c r="DQ51" s="18"/>
      <c r="DR51" s="18"/>
      <c r="DS51" s="8"/>
      <c r="DT51" s="18"/>
      <c r="DU51" s="18"/>
      <c r="DV51" s="18"/>
      <c r="DW51" s="18"/>
      <c r="DX51" s="18"/>
      <c r="DY51" s="6" t="s">
        <v>222</v>
      </c>
      <c r="DZ51" s="18"/>
      <c r="EA51" s="5"/>
      <c r="EB51" s="18"/>
      <c r="EC51" s="18"/>
      <c r="ED51" s="18"/>
      <c r="EE51" s="18"/>
      <c r="EF51" s="18"/>
      <c r="EG51" s="18"/>
      <c r="EH51" s="18"/>
      <c r="EI51" s="5"/>
      <c r="EJ51" s="18"/>
      <c r="EK51" s="18"/>
      <c r="EL51" s="18"/>
      <c r="EU51" s="34"/>
      <c r="EV51" s="34"/>
      <c r="EW51" s="34"/>
      <c r="EX51" s="34"/>
      <c r="EY51" s="34"/>
      <c r="EZ51" s="34"/>
      <c r="FA51" s="34"/>
      <c r="FB51" s="34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</row>
    <row r="52" spans="1:249" s="198" customFormat="1" x14ac:dyDescent="0.3">
      <c r="A52" s="169" t="s">
        <v>385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96" t="s">
        <v>353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73">
        <f t="shared" si="24"/>
        <v>1.2091775923718713</v>
      </c>
      <c r="BU52" s="8">
        <f>CM152</f>
        <v>20290</v>
      </c>
      <c r="BV52" s="8">
        <f>BX14</f>
        <v>0</v>
      </c>
      <c r="BW52" s="8">
        <v>17700</v>
      </c>
      <c r="BX52" s="8" t="e">
        <f>#REF!</f>
        <v>#REF!</v>
      </c>
      <c r="BY52" s="8">
        <v>18610</v>
      </c>
      <c r="BZ52" s="8">
        <v>16780</v>
      </c>
      <c r="CA52" s="11" t="s">
        <v>144</v>
      </c>
      <c r="CB52" s="5"/>
      <c r="CC52" s="5"/>
      <c r="CD52" s="5"/>
      <c r="CE52" s="8"/>
      <c r="CF52" s="5"/>
      <c r="CG52" s="5"/>
      <c r="CH52" s="72" t="s">
        <v>124</v>
      </c>
      <c r="CI52" s="71" t="e">
        <f>#REF!/#REF!*100</f>
        <v>#REF!</v>
      </c>
      <c r="CJ52" s="71" t="e">
        <f>#REF!/#REF!*100</f>
        <v>#REF!</v>
      </c>
      <c r="CK52" s="72" t="s">
        <v>124</v>
      </c>
      <c r="CL52" s="72" t="s">
        <v>124</v>
      </c>
      <c r="CM52" s="71" t="e">
        <f t="shared" si="17"/>
        <v>#REF!</v>
      </c>
      <c r="CN52" s="72" t="s">
        <v>187</v>
      </c>
      <c r="CO52" s="71"/>
      <c r="CP52" s="71"/>
      <c r="CQ52" s="72" t="s">
        <v>188</v>
      </c>
      <c r="CR52" s="71"/>
      <c r="CS52" s="71"/>
      <c r="CT52" s="71"/>
      <c r="CU52" s="138" t="e">
        <f t="shared" si="18"/>
        <v>#REF!</v>
      </c>
      <c r="CV52" s="138" t="str">
        <f t="shared" si="19"/>
        <v>-</v>
      </c>
      <c r="CW52" s="138" t="str">
        <f t="shared" si="20"/>
        <v>-</v>
      </c>
      <c r="CX52" s="138" t="e">
        <f t="shared" si="21"/>
        <v>#REF!</v>
      </c>
      <c r="CY52" s="138" t="e">
        <f t="shared" si="22"/>
        <v>#REF!</v>
      </c>
      <c r="CZ52" s="138" t="str">
        <f t="shared" si="23"/>
        <v>-</v>
      </c>
      <c r="DA52" s="18"/>
      <c r="DB52" s="18"/>
      <c r="DC52" s="34">
        <f t="shared" ref="DC52:DI52" si="25">DC55+DC56</f>
        <v>836</v>
      </c>
      <c r="DD52" s="34">
        <f t="shared" si="25"/>
        <v>729</v>
      </c>
      <c r="DE52" s="34">
        <f t="shared" si="25"/>
        <v>607</v>
      </c>
      <c r="DF52" s="34">
        <f t="shared" si="25"/>
        <v>581</v>
      </c>
      <c r="DG52" s="34">
        <f t="shared" si="25"/>
        <v>548</v>
      </c>
      <c r="DH52" s="34">
        <f t="shared" si="25"/>
        <v>521</v>
      </c>
      <c r="DI52" s="34">
        <f t="shared" si="25"/>
        <v>520</v>
      </c>
      <c r="DJ52" s="34">
        <v>477</v>
      </c>
      <c r="DK52" s="34">
        <v>429</v>
      </c>
      <c r="DL52" s="34">
        <v>419</v>
      </c>
      <c r="DM52" s="34">
        <v>400</v>
      </c>
      <c r="DN52" s="34">
        <v>345</v>
      </c>
      <c r="DO52" s="34">
        <v>341</v>
      </c>
      <c r="DP52" s="34">
        <v>322</v>
      </c>
      <c r="DQ52" s="34">
        <v>299</v>
      </c>
      <c r="DR52" s="34">
        <v>256</v>
      </c>
      <c r="DS52" s="11" t="s">
        <v>166</v>
      </c>
      <c r="DT52" s="18"/>
      <c r="DU52" s="18"/>
      <c r="DV52" s="18"/>
      <c r="DW52" s="18"/>
      <c r="DX52" s="18"/>
      <c r="DY52" s="5"/>
      <c r="DZ52" s="18"/>
      <c r="EA52" s="18"/>
      <c r="EB52" s="19" t="s">
        <v>223</v>
      </c>
      <c r="EC52" s="18"/>
      <c r="ED52" s="18"/>
      <c r="EE52" s="18"/>
      <c r="EF52" s="18"/>
      <c r="EG52" s="18"/>
      <c r="EH52" s="18"/>
      <c r="EI52" s="5"/>
      <c r="EJ52" s="18"/>
      <c r="EK52" s="18"/>
      <c r="EL52" s="18"/>
      <c r="EU52" s="34" t="s">
        <v>124</v>
      </c>
      <c r="EV52" s="34">
        <f>EV55+EV56</f>
        <v>731</v>
      </c>
      <c r="EW52" s="34">
        <f>EW55+EW56</f>
        <v>128</v>
      </c>
      <c r="EX52" s="34" t="s">
        <v>124</v>
      </c>
      <c r="EY52" s="34">
        <f>EY55+EY56</f>
        <v>2609</v>
      </c>
      <c r="EZ52" s="34">
        <f>EZ55+EZ56</f>
        <v>844</v>
      </c>
      <c r="FA52" s="34">
        <f>FA55+FA56</f>
        <v>1970</v>
      </c>
      <c r="FB52" s="34">
        <f>SUM(EU52:FA52)</f>
        <v>6282</v>
      </c>
      <c r="FC52" s="11" t="s">
        <v>179</v>
      </c>
      <c r="FD52" s="8"/>
      <c r="FE52" s="11" t="s">
        <v>168</v>
      </c>
      <c r="FF52" s="8"/>
      <c r="FG52" s="8"/>
      <c r="FH52" s="8"/>
      <c r="FI52" s="8"/>
      <c r="FJ52" s="8">
        <f>FB52</f>
        <v>6282</v>
      </c>
      <c r="FK52" s="8">
        <f>FA52</f>
        <v>1970</v>
      </c>
      <c r="FL52" s="8">
        <f>EZ52</f>
        <v>844</v>
      </c>
      <c r="FM52" s="8">
        <f>EY52</f>
        <v>2609</v>
      </c>
      <c r="FN52" s="11" t="s">
        <v>124</v>
      </c>
      <c r="FO52" s="8">
        <f>EW52</f>
        <v>128</v>
      </c>
      <c r="FP52" s="8">
        <f>EV52</f>
        <v>731</v>
      </c>
      <c r="FQ52" s="11" t="s">
        <v>124</v>
      </c>
      <c r="FR52" s="8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</row>
    <row r="53" spans="1:249" s="198" customFormat="1" x14ac:dyDescent="0.3">
      <c r="A53" s="169" t="s">
        <v>361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96" t="s">
        <v>360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73"/>
      <c r="BU53" s="8"/>
      <c r="BV53" s="8"/>
      <c r="BW53" s="8"/>
      <c r="BX53" s="8"/>
      <c r="BY53" s="8"/>
      <c r="BZ53" s="8"/>
      <c r="CA53" s="11"/>
      <c r="CB53" s="5"/>
      <c r="CC53" s="5"/>
      <c r="CD53" s="5"/>
      <c r="CE53" s="8"/>
      <c r="CF53" s="5"/>
      <c r="CG53" s="5"/>
      <c r="CH53" s="72"/>
      <c r="CI53" s="71"/>
      <c r="CJ53" s="71"/>
      <c r="CK53" s="72"/>
      <c r="CL53" s="72"/>
      <c r="CM53" s="71"/>
      <c r="CN53" s="72"/>
      <c r="CO53" s="71"/>
      <c r="CP53" s="71"/>
      <c r="CQ53" s="72"/>
      <c r="CR53" s="71"/>
      <c r="CS53" s="71"/>
      <c r="CT53" s="71"/>
      <c r="CU53" s="138"/>
      <c r="CV53" s="138"/>
      <c r="CW53" s="138"/>
      <c r="CX53" s="138"/>
      <c r="CY53" s="138"/>
      <c r="CZ53" s="138"/>
      <c r="DA53" s="18"/>
      <c r="DB53" s="18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11"/>
      <c r="DT53" s="18"/>
      <c r="DU53" s="18"/>
      <c r="DV53" s="18"/>
      <c r="DW53" s="18"/>
      <c r="DX53" s="18"/>
      <c r="DY53" s="5"/>
      <c r="DZ53" s="18"/>
      <c r="EA53" s="18"/>
      <c r="EB53" s="19"/>
      <c r="EC53" s="18"/>
      <c r="ED53" s="18"/>
      <c r="EE53" s="18"/>
      <c r="EF53" s="18"/>
      <c r="EG53" s="18"/>
      <c r="EH53" s="18"/>
      <c r="EI53" s="5"/>
      <c r="EJ53" s="18"/>
      <c r="EK53" s="18"/>
      <c r="EL53" s="18"/>
      <c r="EU53" s="34"/>
      <c r="EV53" s="34"/>
      <c r="EW53" s="34"/>
      <c r="EX53" s="34"/>
      <c r="EY53" s="34"/>
      <c r="EZ53" s="34"/>
      <c r="FA53" s="34"/>
      <c r="FB53" s="34"/>
      <c r="FC53" s="11"/>
      <c r="FD53" s="8"/>
      <c r="FE53" s="11"/>
      <c r="FF53" s="8"/>
      <c r="FG53" s="8"/>
      <c r="FH53" s="8"/>
      <c r="FI53" s="8"/>
      <c r="FJ53" s="8"/>
      <c r="FK53" s="8"/>
      <c r="FL53" s="8"/>
      <c r="FM53" s="8"/>
      <c r="FN53" s="11"/>
      <c r="FO53" s="8"/>
      <c r="FP53" s="8"/>
      <c r="FQ53" s="11"/>
      <c r="FR53" s="8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1:249" s="198" customFormat="1" x14ac:dyDescent="0.3">
      <c r="A54" s="169" t="s">
        <v>386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96" t="s">
        <v>382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73">
        <f t="shared" si="24"/>
        <v>2.0482315112540195</v>
      </c>
      <c r="BU54" s="8">
        <f>CM155</f>
        <v>19110</v>
      </c>
      <c r="BV54" s="8">
        <f>CA14</f>
        <v>0</v>
      </c>
      <c r="BW54" s="8">
        <v>10200</v>
      </c>
      <c r="BX54" s="8" t="e">
        <f>#REF!</f>
        <v>#REF!</v>
      </c>
      <c r="BY54" s="8">
        <v>11930</v>
      </c>
      <c r="BZ54" s="8">
        <v>9330</v>
      </c>
      <c r="CA54" s="11" t="s">
        <v>177</v>
      </c>
      <c r="CB54" s="5"/>
      <c r="CC54" s="5"/>
      <c r="CD54" s="5"/>
      <c r="CE54" s="8"/>
      <c r="CF54" s="5"/>
      <c r="CG54" s="5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5"/>
      <c r="CT54" s="5"/>
      <c r="CU54" s="34"/>
      <c r="CV54" s="34"/>
      <c r="CW54" s="34"/>
      <c r="CX54" s="34"/>
      <c r="CY54" s="34"/>
      <c r="CZ54" s="34"/>
      <c r="DA54" s="18"/>
      <c r="DB54" s="18"/>
      <c r="DC54" s="12"/>
      <c r="DD54" s="12"/>
      <c r="DE54" s="8"/>
      <c r="DF54" s="8"/>
      <c r="DG54" s="8"/>
      <c r="DH54" s="8"/>
      <c r="DI54" s="34"/>
      <c r="DJ54" s="18"/>
      <c r="DK54" s="18"/>
      <c r="DL54" s="18"/>
      <c r="DM54" s="18"/>
      <c r="DN54" s="18"/>
      <c r="DO54" s="18"/>
      <c r="DP54" s="18"/>
      <c r="DQ54" s="18"/>
      <c r="DR54" s="18"/>
      <c r="DS54" s="8"/>
      <c r="DT54" s="18"/>
      <c r="DU54" s="18"/>
      <c r="DV54" s="18"/>
      <c r="DW54" s="18"/>
      <c r="DX54" s="18"/>
      <c r="DY54" s="18"/>
      <c r="DZ54" s="18"/>
      <c r="EA54" s="19" t="s">
        <v>224</v>
      </c>
      <c r="EB54" s="18"/>
      <c r="EC54" s="18"/>
      <c r="ED54" s="18"/>
      <c r="EE54" s="18"/>
      <c r="EF54" s="18"/>
      <c r="EG54" s="18"/>
      <c r="EH54" s="18"/>
      <c r="EI54" s="5"/>
      <c r="EJ54" s="18"/>
      <c r="EK54" s="18"/>
      <c r="EL54" s="18"/>
      <c r="EU54" s="34"/>
      <c r="EV54" s="34"/>
      <c r="EW54" s="34"/>
      <c r="EX54" s="34"/>
      <c r="EY54" s="34"/>
      <c r="EZ54" s="34"/>
      <c r="FA54" s="34"/>
      <c r="FB54" s="34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</row>
    <row r="55" spans="1:249" s="198" customFormat="1" x14ac:dyDescent="0.3">
      <c r="A55" s="199" t="s">
        <v>398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96" t="s">
        <v>397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73">
        <f t="shared" si="24"/>
        <v>1.1420704845814977</v>
      </c>
      <c r="BU55" s="8">
        <f>CM153</f>
        <v>10370</v>
      </c>
      <c r="BV55" s="8">
        <f>BY14</f>
        <v>0</v>
      </c>
      <c r="BW55" s="8">
        <v>9770</v>
      </c>
      <c r="BX55" s="8" t="e">
        <f>#REF!</f>
        <v>#REF!</v>
      </c>
      <c r="BY55" s="8">
        <v>10280</v>
      </c>
      <c r="BZ55" s="8">
        <v>9080</v>
      </c>
      <c r="CA55" s="11" t="s">
        <v>70</v>
      </c>
      <c r="CB55" s="5"/>
      <c r="CC55" s="5"/>
      <c r="CD55" s="5"/>
      <c r="CE55" s="8"/>
      <c r="CF55" s="5"/>
      <c r="CG55" s="5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5"/>
      <c r="CT55" s="5"/>
      <c r="CU55" s="34"/>
      <c r="CV55" s="34"/>
      <c r="CW55" s="34"/>
      <c r="CX55" s="34"/>
      <c r="CY55" s="34"/>
      <c r="CZ55" s="34"/>
      <c r="DA55" s="18"/>
      <c r="DB55" s="18"/>
      <c r="DC55" s="12">
        <v>741</v>
      </c>
      <c r="DD55" s="12">
        <v>639</v>
      </c>
      <c r="DE55" s="8">
        <v>527</v>
      </c>
      <c r="DF55" s="8">
        <v>495</v>
      </c>
      <c r="DG55" s="8">
        <v>472</v>
      </c>
      <c r="DH55" s="8">
        <v>435</v>
      </c>
      <c r="DI55" s="34">
        <v>424</v>
      </c>
      <c r="DJ55" s="34">
        <v>393</v>
      </c>
      <c r="DK55" s="34">
        <v>360</v>
      </c>
      <c r="DL55" s="34">
        <v>363</v>
      </c>
      <c r="DM55" s="34">
        <v>339</v>
      </c>
      <c r="DN55" s="34">
        <v>293</v>
      </c>
      <c r="DO55" s="34">
        <v>291</v>
      </c>
      <c r="DP55" s="34">
        <v>280</v>
      </c>
      <c r="DQ55" s="34">
        <v>261</v>
      </c>
      <c r="DR55" s="34">
        <v>218</v>
      </c>
      <c r="DS55" s="11" t="s">
        <v>164</v>
      </c>
      <c r="DT55" s="18"/>
      <c r="DU55" s="18"/>
      <c r="DV55" s="18"/>
      <c r="DW55" s="18"/>
      <c r="DX55" s="18"/>
      <c r="DY55" s="18"/>
      <c r="DZ55" s="18"/>
      <c r="EA55" s="18"/>
      <c r="EB55" s="19" t="s">
        <v>39</v>
      </c>
      <c r="EC55" s="19" t="s">
        <v>46</v>
      </c>
      <c r="ED55" s="19" t="s">
        <v>39</v>
      </c>
      <c r="EE55" s="19" t="s">
        <v>46</v>
      </c>
      <c r="EF55" s="18"/>
      <c r="EG55" s="18"/>
      <c r="EH55" s="5"/>
      <c r="EI55" s="5"/>
      <c r="EJ55" s="5"/>
      <c r="EK55" s="5"/>
      <c r="EL55" s="5"/>
      <c r="EU55" s="34" t="s">
        <v>124</v>
      </c>
      <c r="EV55" s="34">
        <v>433</v>
      </c>
      <c r="EW55" s="34" t="s">
        <v>124</v>
      </c>
      <c r="EX55" s="34" t="s">
        <v>124</v>
      </c>
      <c r="EY55" s="34">
        <v>1066</v>
      </c>
      <c r="EZ55" s="34">
        <v>844</v>
      </c>
      <c r="FA55" s="34">
        <v>832</v>
      </c>
      <c r="FB55" s="34">
        <f>SUM(EU55:FA55)</f>
        <v>3175</v>
      </c>
      <c r="FC55" s="11" t="s">
        <v>185</v>
      </c>
      <c r="FD55" s="8"/>
      <c r="FE55" s="11" t="s">
        <v>190</v>
      </c>
      <c r="FF55" s="8"/>
      <c r="FG55" s="8"/>
      <c r="FH55" s="8"/>
      <c r="FI55" s="8"/>
      <c r="FJ55" s="8">
        <f>FB55</f>
        <v>3175</v>
      </c>
      <c r="FK55" s="8">
        <f>FA55</f>
        <v>832</v>
      </c>
      <c r="FL55" s="8">
        <f>EZ55</f>
        <v>844</v>
      </c>
      <c r="FM55" s="8">
        <f>EY55</f>
        <v>1066</v>
      </c>
      <c r="FN55" s="11" t="s">
        <v>124</v>
      </c>
      <c r="FO55" s="11" t="s">
        <v>124</v>
      </c>
      <c r="FP55" s="8">
        <f>EV55</f>
        <v>433</v>
      </c>
      <c r="FQ55" s="11" t="s">
        <v>124</v>
      </c>
      <c r="FR55" s="8"/>
      <c r="FS55" s="5"/>
      <c r="FT55" s="5"/>
      <c r="FU55" s="5"/>
      <c r="FV55" s="5"/>
      <c r="FW55" s="5"/>
      <c r="FX55" s="5"/>
      <c r="FY55" s="5"/>
      <c r="FZ55" s="6" t="s">
        <v>225</v>
      </c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</row>
    <row r="56" spans="1:249" s="198" customFormat="1" x14ac:dyDescent="0.3">
      <c r="A56" s="200" t="s">
        <v>403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97" t="s">
        <v>405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73">
        <f t="shared" si="24"/>
        <v>1.8908554572271385</v>
      </c>
      <c r="BU56" s="8">
        <f>CM156</f>
        <v>12820</v>
      </c>
      <c r="BV56" s="8">
        <f>CB14</f>
        <v>0</v>
      </c>
      <c r="BW56" s="8">
        <v>7030</v>
      </c>
      <c r="BX56" s="8" t="e">
        <f>#REF!</f>
        <v>#REF!</v>
      </c>
      <c r="BY56" s="8">
        <v>8120</v>
      </c>
      <c r="BZ56" s="8">
        <v>6780</v>
      </c>
      <c r="CA56" s="11" t="s">
        <v>149</v>
      </c>
      <c r="CB56" s="5"/>
      <c r="CC56" s="5"/>
      <c r="CD56" s="5"/>
      <c r="CE56" s="8"/>
      <c r="CF56" s="5"/>
      <c r="CG56" s="5"/>
      <c r="CH56" s="71" t="e">
        <f t="shared" ref="CH56:CM56" si="26">SUM(CH57:CH62)</f>
        <v>#REF!</v>
      </c>
      <c r="CI56" s="71" t="e">
        <f t="shared" si="26"/>
        <v>#REF!</v>
      </c>
      <c r="CJ56" s="71" t="e">
        <f t="shared" si="26"/>
        <v>#REF!</v>
      </c>
      <c r="CK56" s="71" t="e">
        <f t="shared" si="26"/>
        <v>#REF!</v>
      </c>
      <c r="CL56" s="71" t="e">
        <f t="shared" si="26"/>
        <v>#REF!</v>
      </c>
      <c r="CM56" s="71" t="e">
        <f t="shared" si="26"/>
        <v>#REF!</v>
      </c>
      <c r="CN56" s="72" t="s">
        <v>72</v>
      </c>
      <c r="CO56" s="71"/>
      <c r="CP56" s="71"/>
      <c r="CQ56" s="11" t="s">
        <v>75</v>
      </c>
      <c r="CR56" s="71"/>
      <c r="CS56" s="5"/>
      <c r="CT56" s="5"/>
      <c r="CU56" s="138" t="e">
        <f t="shared" ref="CU56:CU62" si="27">CM56</f>
        <v>#REF!</v>
      </c>
      <c r="CV56" s="138" t="e">
        <f t="shared" ref="CV56:CV62" si="28">CL56</f>
        <v>#REF!</v>
      </c>
      <c r="CW56" s="138" t="e">
        <f t="shared" ref="CW56:CW62" si="29">CK56</f>
        <v>#REF!</v>
      </c>
      <c r="CX56" s="138" t="e">
        <f t="shared" ref="CX56:CX62" si="30">CJ56</f>
        <v>#REF!</v>
      </c>
      <c r="CY56" s="138" t="e">
        <f t="shared" ref="CY56:CY62" si="31">CI56</f>
        <v>#REF!</v>
      </c>
      <c r="CZ56" s="138" t="e">
        <f t="shared" ref="CZ56:CZ62" si="32">CH56</f>
        <v>#REF!</v>
      </c>
      <c r="DA56" s="18"/>
      <c r="DB56" s="18"/>
      <c r="DC56" s="12">
        <v>95</v>
      </c>
      <c r="DD56" s="12">
        <v>90</v>
      </c>
      <c r="DE56" s="8">
        <v>80</v>
      </c>
      <c r="DF56" s="8">
        <v>86</v>
      </c>
      <c r="DG56" s="8">
        <v>76</v>
      </c>
      <c r="DH56" s="8">
        <v>86</v>
      </c>
      <c r="DI56" s="34">
        <v>96</v>
      </c>
      <c r="DJ56" s="34">
        <v>84</v>
      </c>
      <c r="DK56" s="34">
        <v>69</v>
      </c>
      <c r="DL56" s="34">
        <v>56</v>
      </c>
      <c r="DM56" s="34">
        <v>61</v>
      </c>
      <c r="DN56" s="34">
        <v>52</v>
      </c>
      <c r="DO56" s="34">
        <v>50</v>
      </c>
      <c r="DP56" s="34">
        <v>42</v>
      </c>
      <c r="DQ56" s="34">
        <v>38</v>
      </c>
      <c r="DR56" s="34">
        <v>38</v>
      </c>
      <c r="DS56" s="11" t="s">
        <v>162</v>
      </c>
      <c r="DT56" s="18"/>
      <c r="DU56" s="18"/>
      <c r="DV56" s="18"/>
      <c r="DW56" s="18"/>
      <c r="DX56" s="18"/>
      <c r="DY56" s="18"/>
      <c r="DZ56" s="18"/>
      <c r="EA56" s="140" t="e">
        <f t="shared" ref="EA56:EA62" si="33">ED56/EE56</f>
        <v>#REF!</v>
      </c>
      <c r="EB56" s="71" t="e">
        <f>SUM(EB57:EB62)</f>
        <v>#REF!</v>
      </c>
      <c r="EC56" s="71" t="e">
        <f>SUM(EC57:EC62)</f>
        <v>#REF!</v>
      </c>
      <c r="ED56" s="34" t="e">
        <f>EI12</f>
        <v>#REF!</v>
      </c>
      <c r="EE56" s="34">
        <f>EA12</f>
        <v>54480</v>
      </c>
      <c r="EF56" s="6" t="s">
        <v>72</v>
      </c>
      <c r="EG56" s="18"/>
      <c r="EH56" s="5"/>
      <c r="EI56" s="5"/>
      <c r="EJ56" s="5"/>
      <c r="EK56" s="5"/>
      <c r="EL56" s="5"/>
      <c r="EU56" s="34" t="s">
        <v>124</v>
      </c>
      <c r="EV56" s="34">
        <v>298</v>
      </c>
      <c r="EW56" s="34">
        <v>128</v>
      </c>
      <c r="EX56" s="34" t="s">
        <v>124</v>
      </c>
      <c r="EY56" s="34">
        <v>1543</v>
      </c>
      <c r="EZ56" s="34" t="s">
        <v>124</v>
      </c>
      <c r="FA56" s="34">
        <v>1138</v>
      </c>
      <c r="FB56" s="34">
        <f>SUM(EU56:FA56)</f>
        <v>3107</v>
      </c>
      <c r="FC56" s="11" t="s">
        <v>189</v>
      </c>
      <c r="FD56" s="8"/>
      <c r="FE56" s="11" t="s">
        <v>192</v>
      </c>
      <c r="FF56" s="8"/>
      <c r="FG56" s="8"/>
      <c r="FH56" s="8"/>
      <c r="FI56" s="8"/>
      <c r="FJ56" s="8">
        <f>FB56</f>
        <v>3107</v>
      </c>
      <c r="FK56" s="8">
        <f>FA56</f>
        <v>1138</v>
      </c>
      <c r="FL56" s="11" t="s">
        <v>124</v>
      </c>
      <c r="FM56" s="8">
        <f>EY56</f>
        <v>1543</v>
      </c>
      <c r="FN56" s="11" t="s">
        <v>124</v>
      </c>
      <c r="FO56" s="8">
        <f>EW56</f>
        <v>128</v>
      </c>
      <c r="FP56" s="8">
        <f>EV56</f>
        <v>298</v>
      </c>
      <c r="FQ56" s="11" t="s">
        <v>124</v>
      </c>
      <c r="FR56" s="8"/>
      <c r="FS56" s="5"/>
      <c r="FT56" s="5"/>
      <c r="FU56" s="5"/>
      <c r="FV56" s="5"/>
      <c r="FW56" s="5"/>
      <c r="FX56" s="5"/>
      <c r="FY56" s="6" t="s">
        <v>14</v>
      </c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</row>
    <row r="57" spans="1:249" s="198" customFormat="1" x14ac:dyDescent="0.3">
      <c r="A57" s="201" t="s">
        <v>356</v>
      </c>
      <c r="B57" s="174"/>
      <c r="C57" s="174"/>
      <c r="D57" s="174"/>
      <c r="E57" s="174"/>
      <c r="F57" s="174"/>
      <c r="G57" s="175"/>
      <c r="H57" s="174"/>
      <c r="I57" s="174"/>
      <c r="J57" s="202"/>
      <c r="K57" s="202"/>
      <c r="L57" s="202"/>
      <c r="M57" s="202"/>
      <c r="N57" s="202"/>
      <c r="O57" s="203"/>
      <c r="P57" s="204"/>
      <c r="Q57" s="204"/>
      <c r="R57" s="204"/>
      <c r="W57" s="203" t="s">
        <v>357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73">
        <f t="shared" si="24"/>
        <v>2.0797962648556876</v>
      </c>
      <c r="BU57" s="8">
        <f>CM157</f>
        <v>12250</v>
      </c>
      <c r="BV57" s="8">
        <f>CC14</f>
        <v>0</v>
      </c>
      <c r="BW57" s="8">
        <v>6410</v>
      </c>
      <c r="BX57" s="8" t="e">
        <f>#REF!</f>
        <v>#REF!</v>
      </c>
      <c r="BY57" s="8">
        <v>7490</v>
      </c>
      <c r="BZ57" s="8">
        <v>5890</v>
      </c>
      <c r="CA57" s="11" t="s">
        <v>183</v>
      </c>
      <c r="CB57" s="5"/>
      <c r="CC57" s="5"/>
      <c r="CD57" s="5"/>
      <c r="CE57" s="8"/>
      <c r="CF57" s="5"/>
      <c r="CG57" s="5"/>
      <c r="CH57" s="71" t="e">
        <f>#REF!/#REF!*100</f>
        <v>#REF!</v>
      </c>
      <c r="CI57" s="71" t="e">
        <f>#REF!/#REF!*100</f>
        <v>#REF!</v>
      </c>
      <c r="CJ57" s="71" t="e">
        <f>#REF!/#REF!*100</f>
        <v>#REF!</v>
      </c>
      <c r="CK57" s="71" t="e">
        <f>#REF!/#REF!*100</f>
        <v>#REF!</v>
      </c>
      <c r="CL57" s="71" t="e">
        <f>#REF!/#REF!*100</f>
        <v>#REF!</v>
      </c>
      <c r="CM57" s="71" t="e">
        <f>#REF!/#REF!*100</f>
        <v>#REF!</v>
      </c>
      <c r="CN57" s="72" t="s">
        <v>144</v>
      </c>
      <c r="CO57" s="71"/>
      <c r="CP57" s="71"/>
      <c r="CQ57" s="11" t="s">
        <v>145</v>
      </c>
      <c r="CR57" s="71"/>
      <c r="CS57" s="5"/>
      <c r="CT57" s="5"/>
      <c r="CU57" s="138" t="e">
        <f t="shared" si="27"/>
        <v>#REF!</v>
      </c>
      <c r="CV57" s="138" t="e">
        <f t="shared" si="28"/>
        <v>#REF!</v>
      </c>
      <c r="CW57" s="138" t="e">
        <f t="shared" si="29"/>
        <v>#REF!</v>
      </c>
      <c r="CX57" s="138" t="e">
        <f t="shared" si="30"/>
        <v>#REF!</v>
      </c>
      <c r="CY57" s="138" t="e">
        <f t="shared" si="31"/>
        <v>#REF!</v>
      </c>
      <c r="CZ57" s="138" t="e">
        <f t="shared" si="32"/>
        <v>#REF!</v>
      </c>
      <c r="DA57" s="18"/>
      <c r="DB57" s="18"/>
      <c r="DC57" s="12"/>
      <c r="DD57" s="12"/>
      <c r="DE57" s="8"/>
      <c r="DF57" s="8"/>
      <c r="DG57" s="8"/>
      <c r="DH57" s="8"/>
      <c r="DI57" s="34"/>
      <c r="DJ57" s="18"/>
      <c r="DK57" s="18"/>
      <c r="DL57" s="18"/>
      <c r="DM57" s="18"/>
      <c r="DN57" s="18"/>
      <c r="DO57" s="18"/>
      <c r="DP57" s="18"/>
      <c r="DQ57" s="18"/>
      <c r="DR57" s="18"/>
      <c r="DS57" s="8"/>
      <c r="DT57" s="18"/>
      <c r="DU57" s="18"/>
      <c r="DV57" s="18"/>
      <c r="DW57" s="18"/>
      <c r="DX57" s="18"/>
      <c r="DY57" s="18"/>
      <c r="DZ57" s="18"/>
      <c r="EA57" s="140" t="e">
        <f t="shared" si="33"/>
        <v>#REF!</v>
      </c>
      <c r="EB57" s="71" t="e">
        <f t="shared" ref="EB57:EC62" si="34">ED57/ED$56*100</f>
        <v>#REF!</v>
      </c>
      <c r="EC57" s="71" t="e">
        <f t="shared" si="34"/>
        <v>#REF!</v>
      </c>
      <c r="ED57" s="34" t="e">
        <f>EI13-ED58</f>
        <v>#REF!</v>
      </c>
      <c r="EE57" s="34" t="e">
        <f>EA13-EE58</f>
        <v>#REF!</v>
      </c>
      <c r="EF57" s="11" t="s">
        <v>226</v>
      </c>
      <c r="EG57" s="18"/>
      <c r="EH57" s="5"/>
      <c r="EI57" s="5"/>
      <c r="EJ57" s="5"/>
      <c r="EK57" s="5"/>
      <c r="EL57" s="5"/>
      <c r="EU57" s="34"/>
      <c r="EV57" s="34"/>
      <c r="EW57" s="34"/>
      <c r="EX57" s="34"/>
      <c r="EY57" s="34"/>
      <c r="EZ57" s="34"/>
      <c r="FA57" s="34"/>
      <c r="FB57" s="34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5"/>
      <c r="FT57" s="5"/>
      <c r="FU57" s="5"/>
      <c r="FV57" s="5"/>
      <c r="FW57" s="5"/>
      <c r="FX57" s="5"/>
      <c r="FY57" s="5"/>
      <c r="FZ57" s="6" t="s">
        <v>161</v>
      </c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6" t="s">
        <v>13</v>
      </c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V58" s="5"/>
      <c r="BW58" s="5"/>
      <c r="BX58" s="5"/>
      <c r="BY58" s="5"/>
      <c r="BZ58" s="5"/>
      <c r="CA58" s="11" t="s">
        <v>176</v>
      </c>
      <c r="CB58" s="5"/>
      <c r="CC58" s="5"/>
      <c r="CD58" s="5"/>
      <c r="CE58" s="8"/>
      <c r="CF58" s="5"/>
      <c r="CG58" s="5"/>
      <c r="CH58" s="71" t="e">
        <f>#REF!/#REF!*100</f>
        <v>#REF!</v>
      </c>
      <c r="CI58" s="71" t="e">
        <f>#REF!/#REF!*100</f>
        <v>#REF!</v>
      </c>
      <c r="CJ58" s="71" t="e">
        <f>#REF!/#REF!*100</f>
        <v>#REF!</v>
      </c>
      <c r="CK58" s="71" t="e">
        <f>#REF!/#REF!*100</f>
        <v>#REF!</v>
      </c>
      <c r="CL58" s="71" t="e">
        <f>#REF!/#REF!*100</f>
        <v>#REF!</v>
      </c>
      <c r="CM58" s="71" t="e">
        <f>#REF!/#REF!*100</f>
        <v>#REF!</v>
      </c>
      <c r="CN58" s="72" t="s">
        <v>70</v>
      </c>
      <c r="CO58" s="71"/>
      <c r="CP58" s="71"/>
      <c r="CQ58" s="11" t="s">
        <v>77</v>
      </c>
      <c r="CR58" s="71"/>
      <c r="CS58" s="5"/>
      <c r="CT58" s="5"/>
      <c r="CU58" s="138" t="e">
        <f t="shared" si="27"/>
        <v>#REF!</v>
      </c>
      <c r="CV58" s="138" t="e">
        <f t="shared" si="28"/>
        <v>#REF!</v>
      </c>
      <c r="CW58" s="138" t="e">
        <f t="shared" si="29"/>
        <v>#REF!</v>
      </c>
      <c r="CX58" s="138" t="e">
        <f t="shared" si="30"/>
        <v>#REF!</v>
      </c>
      <c r="CY58" s="138" t="e">
        <f t="shared" si="31"/>
        <v>#REF!</v>
      </c>
      <c r="CZ58" s="138" t="e">
        <f t="shared" si="32"/>
        <v>#REF!</v>
      </c>
      <c r="DA58" s="18"/>
      <c r="DB58" s="18"/>
      <c r="DC58" s="12">
        <v>80</v>
      </c>
      <c r="DD58" s="12">
        <v>55</v>
      </c>
      <c r="DE58" s="8">
        <v>53</v>
      </c>
      <c r="DF58" s="8">
        <v>61</v>
      </c>
      <c r="DG58" s="8">
        <v>51</v>
      </c>
      <c r="DH58" s="8">
        <v>49</v>
      </c>
      <c r="DI58" s="34">
        <v>40</v>
      </c>
      <c r="DJ58" s="34">
        <v>40</v>
      </c>
      <c r="DK58" s="34">
        <v>34</v>
      </c>
      <c r="DL58" s="34">
        <v>37</v>
      </c>
      <c r="DM58" s="34">
        <v>39</v>
      </c>
      <c r="DN58" s="34">
        <v>36</v>
      </c>
      <c r="DO58" s="34">
        <v>45</v>
      </c>
      <c r="DP58" s="34">
        <v>45</v>
      </c>
      <c r="DQ58" s="34">
        <v>62</v>
      </c>
      <c r="DR58" s="34">
        <v>60</v>
      </c>
      <c r="DS58" s="11" t="s">
        <v>172</v>
      </c>
      <c r="DT58" s="18"/>
      <c r="DU58" s="18"/>
      <c r="DV58" s="18"/>
      <c r="DW58" s="18"/>
      <c r="DX58" s="18"/>
      <c r="DY58" s="18"/>
      <c r="DZ58" s="18"/>
      <c r="EA58" s="140" t="e">
        <f t="shared" si="33"/>
        <v>#REF!</v>
      </c>
      <c r="EB58" s="71" t="e">
        <f t="shared" si="34"/>
        <v>#REF!</v>
      </c>
      <c r="EC58" s="71" t="e">
        <f t="shared" si="34"/>
        <v>#REF!</v>
      </c>
      <c r="ED58" s="34" t="e">
        <f>#REF!</f>
        <v>#REF!</v>
      </c>
      <c r="EE58" s="34" t="e">
        <f>#REF!</f>
        <v>#REF!</v>
      </c>
      <c r="EF58" s="11" t="s">
        <v>155</v>
      </c>
      <c r="EG58" s="18"/>
      <c r="EH58" s="5"/>
      <c r="EI58" s="5"/>
      <c r="EJ58" s="5"/>
      <c r="EK58" s="5"/>
      <c r="EL58" s="5"/>
      <c r="EU58" s="34">
        <f t="shared" ref="EU58:FA58" si="35">EU60+EU61+EU62</f>
        <v>732</v>
      </c>
      <c r="EV58" s="34">
        <f t="shared" si="35"/>
        <v>1404</v>
      </c>
      <c r="EW58" s="34">
        <f t="shared" si="35"/>
        <v>1248</v>
      </c>
      <c r="EX58" s="34">
        <f t="shared" si="35"/>
        <v>1703</v>
      </c>
      <c r="EY58" s="34">
        <f t="shared" si="35"/>
        <v>3718</v>
      </c>
      <c r="EZ58" s="34">
        <f t="shared" si="35"/>
        <v>1947</v>
      </c>
      <c r="FA58" s="34">
        <f t="shared" si="35"/>
        <v>3364</v>
      </c>
      <c r="FB58" s="34">
        <f>SUM(EU58:FA58)</f>
        <v>14116</v>
      </c>
      <c r="FC58" s="11" t="s">
        <v>207</v>
      </c>
      <c r="FD58" s="8"/>
      <c r="FE58" s="19" t="s">
        <v>180</v>
      </c>
      <c r="FF58" s="8"/>
      <c r="FG58" s="8"/>
      <c r="FH58" s="8"/>
      <c r="FI58" s="8"/>
      <c r="FJ58" s="8">
        <f>FB58</f>
        <v>14116</v>
      </c>
      <c r="FK58" s="8">
        <f>FA58</f>
        <v>3364</v>
      </c>
      <c r="FL58" s="8">
        <f>EZ58</f>
        <v>1947</v>
      </c>
      <c r="FM58" s="8">
        <f>EY58</f>
        <v>3718</v>
      </c>
      <c r="FN58" s="8">
        <f>EX58</f>
        <v>1703</v>
      </c>
      <c r="FO58" s="8">
        <f>EW58</f>
        <v>1248</v>
      </c>
      <c r="FP58" s="8">
        <f>EV58</f>
        <v>1404</v>
      </c>
      <c r="FQ58" s="8">
        <f>EU58</f>
        <v>732</v>
      </c>
      <c r="FR58" s="8"/>
      <c r="FS58" s="5"/>
      <c r="FT58" s="5"/>
      <c r="FU58" s="5"/>
      <c r="FV58" s="5"/>
      <c r="FW58" s="5"/>
      <c r="FX58" s="6" t="s">
        <v>15</v>
      </c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6" t="s">
        <v>227</v>
      </c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49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9"/>
      <c r="BN59" s="9"/>
      <c r="BO59" s="9"/>
      <c r="BP59" s="9"/>
      <c r="BQ59" s="9"/>
      <c r="BR59" s="9"/>
      <c r="BS59" s="9"/>
      <c r="BT59" s="5"/>
      <c r="BU59" s="5"/>
      <c r="BV59" s="5"/>
      <c r="BW59" s="11" t="s">
        <v>228</v>
      </c>
      <c r="BX59" s="5"/>
      <c r="BY59" s="5"/>
      <c r="BZ59" s="5"/>
      <c r="CA59" s="11" t="s">
        <v>145</v>
      </c>
      <c r="CB59" s="5"/>
      <c r="CC59" s="5"/>
      <c r="CD59" s="5"/>
      <c r="CE59" s="5"/>
      <c r="CF59" s="5"/>
      <c r="CG59" s="5"/>
      <c r="CH59" s="71" t="e">
        <f>#REF!/#REF!*100</f>
        <v>#REF!</v>
      </c>
      <c r="CI59" s="71" t="e">
        <f>#REF!/#REF!*100</f>
        <v>#REF!</v>
      </c>
      <c r="CJ59" s="71" t="e">
        <f>#REF!/#REF!*100</f>
        <v>#REF!</v>
      </c>
      <c r="CK59" s="71" t="e">
        <f>#REF!/#REF!*100</f>
        <v>#REF!</v>
      </c>
      <c r="CL59" s="71" t="e">
        <f>#REF!/#REF!*100</f>
        <v>#REF!</v>
      </c>
      <c r="CM59" s="71" t="e">
        <f>#REF!/#REF!*100</f>
        <v>#REF!</v>
      </c>
      <c r="CN59" s="72" t="s">
        <v>175</v>
      </c>
      <c r="CO59" s="71"/>
      <c r="CP59" s="71"/>
      <c r="CQ59" s="11" t="s">
        <v>176</v>
      </c>
      <c r="CR59" s="71"/>
      <c r="CS59" s="5"/>
      <c r="CT59" s="5"/>
      <c r="CU59" s="138" t="e">
        <f t="shared" si="27"/>
        <v>#REF!</v>
      </c>
      <c r="CV59" s="138" t="e">
        <f t="shared" si="28"/>
        <v>#REF!</v>
      </c>
      <c r="CW59" s="138" t="e">
        <f t="shared" si="29"/>
        <v>#REF!</v>
      </c>
      <c r="CX59" s="138" t="e">
        <f t="shared" si="30"/>
        <v>#REF!</v>
      </c>
      <c r="CY59" s="138" t="e">
        <f t="shared" si="31"/>
        <v>#REF!</v>
      </c>
      <c r="CZ59" s="138" t="e">
        <f t="shared" si="32"/>
        <v>#REF!</v>
      </c>
      <c r="DA59" s="18"/>
      <c r="DB59" s="18"/>
      <c r="DC59" s="12"/>
      <c r="DD59" s="12"/>
      <c r="DE59" s="8"/>
      <c r="DF59" s="8"/>
      <c r="DG59" s="8"/>
      <c r="DH59" s="8"/>
      <c r="DI59" s="34"/>
      <c r="DJ59" s="18"/>
      <c r="DK59" s="18"/>
      <c r="DL59" s="18"/>
      <c r="DM59" s="18"/>
      <c r="DN59" s="18"/>
      <c r="DO59" s="18"/>
      <c r="DP59" s="18"/>
      <c r="DQ59" s="18"/>
      <c r="DR59" s="18"/>
      <c r="DS59" s="8"/>
      <c r="DT59" s="18"/>
      <c r="DU59" s="18"/>
      <c r="DV59" s="18"/>
      <c r="DW59" s="18"/>
      <c r="DX59" s="18"/>
      <c r="DY59" s="18"/>
      <c r="DZ59" s="18"/>
      <c r="EA59" s="140" t="e">
        <f t="shared" si="33"/>
        <v>#REF!</v>
      </c>
      <c r="EB59" s="71" t="e">
        <f t="shared" si="34"/>
        <v>#REF!</v>
      </c>
      <c r="EC59" s="71" t="e">
        <f t="shared" si="34"/>
        <v>#REF!</v>
      </c>
      <c r="ED59" s="34" t="e">
        <f>#REF!</f>
        <v>#REF!</v>
      </c>
      <c r="EE59" s="34" t="e">
        <f>#REF!</f>
        <v>#REF!</v>
      </c>
      <c r="EF59" s="11" t="s">
        <v>166</v>
      </c>
      <c r="EG59" s="18"/>
      <c r="EH59" s="5"/>
      <c r="EI59" s="5"/>
      <c r="EJ59" s="5"/>
      <c r="EK59" s="5"/>
      <c r="EL59" s="5"/>
      <c r="EU59" s="34"/>
      <c r="EV59" s="34"/>
      <c r="EW59" s="34"/>
      <c r="EX59" s="34"/>
      <c r="EY59" s="34"/>
      <c r="EZ59" s="34"/>
      <c r="FA59" s="34"/>
      <c r="FB59" s="34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5"/>
      <c r="FT59" s="5"/>
      <c r="FU59" s="5"/>
      <c r="FV59" s="5"/>
      <c r="FW59" s="5"/>
      <c r="FX59" s="5"/>
      <c r="FY59" s="6" t="s">
        <v>30</v>
      </c>
      <c r="FZ59" s="6" t="s">
        <v>31</v>
      </c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6" t="s">
        <v>113</v>
      </c>
      <c r="GO59" s="5"/>
      <c r="GP59" s="5"/>
      <c r="GQ59" s="17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9"/>
      <c r="BN60" s="9"/>
      <c r="BO60" s="9"/>
      <c r="BP60" s="9"/>
      <c r="BQ60" s="9"/>
      <c r="BR60" s="9"/>
      <c r="BS60" s="9"/>
      <c r="BT60" s="5"/>
      <c r="BU60" s="5"/>
      <c r="BV60" s="5"/>
      <c r="BW60" s="6" t="s">
        <v>229</v>
      </c>
      <c r="BX60" s="5"/>
      <c r="BY60" s="5"/>
      <c r="BZ60" s="5"/>
      <c r="CA60" s="11" t="s">
        <v>178</v>
      </c>
      <c r="CB60" s="5"/>
      <c r="CC60" s="5"/>
      <c r="CD60" s="5"/>
      <c r="CE60" s="5"/>
      <c r="CF60" s="5"/>
      <c r="CG60" s="5"/>
      <c r="CH60" s="71" t="e">
        <f>#REF!/#REF!*100</f>
        <v>#REF!</v>
      </c>
      <c r="CI60" s="71" t="e">
        <f>#REF!/#REF!*100</f>
        <v>#REF!</v>
      </c>
      <c r="CJ60" s="71" t="e">
        <f>#REF!/#REF!*100</f>
        <v>#REF!</v>
      </c>
      <c r="CK60" s="71" t="e">
        <f>#REF!/#REF!*100</f>
        <v>#REF!</v>
      </c>
      <c r="CL60" s="71" t="e">
        <f>#REF!/#REF!*100</f>
        <v>#REF!</v>
      </c>
      <c r="CM60" s="71" t="e">
        <f>#REF!/#REF!*100</f>
        <v>#REF!</v>
      </c>
      <c r="CN60" s="72" t="s">
        <v>177</v>
      </c>
      <c r="CO60" s="71"/>
      <c r="CP60" s="71"/>
      <c r="CQ60" s="11" t="s">
        <v>178</v>
      </c>
      <c r="CR60" s="71"/>
      <c r="CS60" s="5"/>
      <c r="CT60" s="5"/>
      <c r="CU60" s="138" t="e">
        <f t="shared" si="27"/>
        <v>#REF!</v>
      </c>
      <c r="CV60" s="138" t="e">
        <f t="shared" si="28"/>
        <v>#REF!</v>
      </c>
      <c r="CW60" s="138" t="e">
        <f t="shared" si="29"/>
        <v>#REF!</v>
      </c>
      <c r="CX60" s="138" t="e">
        <f t="shared" si="30"/>
        <v>#REF!</v>
      </c>
      <c r="CY60" s="138" t="e">
        <f t="shared" si="31"/>
        <v>#REF!</v>
      </c>
      <c r="CZ60" s="138" t="e">
        <f t="shared" si="32"/>
        <v>#REF!</v>
      </c>
      <c r="DA60" s="18"/>
      <c r="DB60" s="18"/>
      <c r="DC60" s="34" t="e">
        <f>DC62+#REF!</f>
        <v>#REF!</v>
      </c>
      <c r="DD60" s="34" t="e">
        <f>DD62+#REF!</f>
        <v>#REF!</v>
      </c>
      <c r="DE60" s="34" t="e">
        <f>DE62+#REF!</f>
        <v>#REF!</v>
      </c>
      <c r="DF60" s="34" t="e">
        <f>DF62+#REF!</f>
        <v>#REF!</v>
      </c>
      <c r="DG60" s="34" t="e">
        <f>DG62+#REF!</f>
        <v>#REF!</v>
      </c>
      <c r="DH60" s="34" t="e">
        <f>DH62+#REF!</f>
        <v>#REF!</v>
      </c>
      <c r="DI60" s="34" t="e">
        <f>DI62+#REF!</f>
        <v>#REF!</v>
      </c>
      <c r="DJ60" s="34">
        <v>200</v>
      </c>
      <c r="DK60" s="34">
        <v>179</v>
      </c>
      <c r="DL60" s="34">
        <v>116</v>
      </c>
      <c r="DM60" s="34">
        <v>55</v>
      </c>
      <c r="DN60" s="34">
        <v>74</v>
      </c>
      <c r="DO60" s="34">
        <v>60</v>
      </c>
      <c r="DP60" s="34">
        <v>54</v>
      </c>
      <c r="DQ60" s="34">
        <v>84</v>
      </c>
      <c r="DR60" s="34">
        <v>24</v>
      </c>
      <c r="DS60" s="11" t="s">
        <v>179</v>
      </c>
      <c r="DT60" s="18"/>
      <c r="DU60" s="18"/>
      <c r="DV60" s="18"/>
      <c r="DW60" s="18"/>
      <c r="DX60" s="18"/>
      <c r="DY60" s="18"/>
      <c r="DZ60" s="18"/>
      <c r="EA60" s="140" t="e">
        <f t="shared" si="33"/>
        <v>#REF!</v>
      </c>
      <c r="EB60" s="71" t="e">
        <f t="shared" si="34"/>
        <v>#REF!</v>
      </c>
      <c r="EC60" s="71" t="e">
        <f t="shared" si="34"/>
        <v>#REF!</v>
      </c>
      <c r="ED60" s="34" t="e">
        <f>#REF!</f>
        <v>#REF!</v>
      </c>
      <c r="EE60" s="34" t="e">
        <f>#REF!</f>
        <v>#REF!</v>
      </c>
      <c r="EF60" s="11" t="s">
        <v>172</v>
      </c>
      <c r="EG60" s="18"/>
      <c r="EH60" s="5"/>
      <c r="EI60" s="5"/>
      <c r="EJ60" s="5"/>
      <c r="EK60" s="5"/>
      <c r="EL60" s="5"/>
      <c r="EU60" s="34">
        <v>110</v>
      </c>
      <c r="EV60" s="34">
        <v>468</v>
      </c>
      <c r="EW60" s="34">
        <v>1086</v>
      </c>
      <c r="EX60" s="34">
        <v>730</v>
      </c>
      <c r="EY60" s="34">
        <v>1527</v>
      </c>
      <c r="EZ60" s="34">
        <v>1144</v>
      </c>
      <c r="FA60" s="34">
        <v>1079</v>
      </c>
      <c r="FB60" s="34">
        <f>SUM(EU60:FA60)</f>
        <v>6144</v>
      </c>
      <c r="FC60" s="11" t="s">
        <v>210</v>
      </c>
      <c r="FD60" s="8"/>
      <c r="FE60" s="11" t="s">
        <v>212</v>
      </c>
      <c r="FF60" s="8"/>
      <c r="FG60" s="8"/>
      <c r="FH60" s="8"/>
      <c r="FI60" s="8"/>
      <c r="FJ60" s="8">
        <f>FB60</f>
        <v>6144</v>
      </c>
      <c r="FK60" s="8">
        <f>FA60</f>
        <v>1079</v>
      </c>
      <c r="FL60" s="8">
        <f>EZ60</f>
        <v>1144</v>
      </c>
      <c r="FM60" s="8">
        <f>EY60</f>
        <v>1527</v>
      </c>
      <c r="FN60" s="8">
        <f>EX60</f>
        <v>730</v>
      </c>
      <c r="FO60" s="8">
        <f>EW60</f>
        <v>1086</v>
      </c>
      <c r="FP60" s="8">
        <f>EV60</f>
        <v>468</v>
      </c>
      <c r="FQ60" s="8">
        <f>EU60</f>
        <v>110</v>
      </c>
      <c r="FR60" s="8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6" t="s">
        <v>16</v>
      </c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</row>
    <row r="61" spans="1:249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9"/>
      <c r="BN61" s="9"/>
      <c r="BO61" s="9"/>
      <c r="BP61" s="9"/>
      <c r="BQ61" s="9"/>
      <c r="BR61" s="9"/>
      <c r="BS61" s="9"/>
      <c r="BT61" s="5"/>
      <c r="BU61" s="5"/>
      <c r="BV61" s="5"/>
      <c r="BW61" s="5"/>
      <c r="BX61" s="5"/>
      <c r="BY61" s="5"/>
      <c r="BZ61" s="5"/>
      <c r="CA61" s="11" t="s">
        <v>77</v>
      </c>
      <c r="CB61" s="5"/>
      <c r="CC61" s="5"/>
      <c r="CD61" s="5"/>
      <c r="CE61" s="71"/>
      <c r="CF61" s="5"/>
      <c r="CG61" s="5"/>
      <c r="CH61" s="71" t="e">
        <f>#REF!/#REF!*100</f>
        <v>#REF!</v>
      </c>
      <c r="CI61" s="71" t="e">
        <f>#REF!/#REF!*100</f>
        <v>#REF!</v>
      </c>
      <c r="CJ61" s="71" t="e">
        <f>#REF!/#REF!*100</f>
        <v>#REF!</v>
      </c>
      <c r="CK61" s="71" t="e">
        <f>#REF!/#REF!*100</f>
        <v>#REF!</v>
      </c>
      <c r="CL61" s="71" t="e">
        <f>#REF!/#REF!*100</f>
        <v>#REF!</v>
      </c>
      <c r="CM61" s="71" t="e">
        <f>#REF!/#REF!*100</f>
        <v>#REF!</v>
      </c>
      <c r="CN61" s="72" t="s">
        <v>149</v>
      </c>
      <c r="CO61" s="71"/>
      <c r="CP61" s="71"/>
      <c r="CQ61" s="11" t="s">
        <v>150</v>
      </c>
      <c r="CR61" s="71"/>
      <c r="CS61" s="5"/>
      <c r="CT61" s="5"/>
      <c r="CU61" s="138" t="e">
        <f t="shared" si="27"/>
        <v>#REF!</v>
      </c>
      <c r="CV61" s="138" t="e">
        <f t="shared" si="28"/>
        <v>#REF!</v>
      </c>
      <c r="CW61" s="138" t="e">
        <f t="shared" si="29"/>
        <v>#REF!</v>
      </c>
      <c r="CX61" s="138" t="e">
        <f t="shared" si="30"/>
        <v>#REF!</v>
      </c>
      <c r="CY61" s="138" t="e">
        <f t="shared" si="31"/>
        <v>#REF!</v>
      </c>
      <c r="CZ61" s="138" t="e">
        <f t="shared" si="32"/>
        <v>#REF!</v>
      </c>
      <c r="DA61" s="18"/>
      <c r="DB61" s="18"/>
      <c r="DC61" s="12"/>
      <c r="DD61" s="12"/>
      <c r="DE61" s="8"/>
      <c r="DF61" s="8"/>
      <c r="DG61" s="8"/>
      <c r="DH61" s="8"/>
      <c r="DI61" s="34"/>
      <c r="DJ61" s="18"/>
      <c r="DK61" s="18"/>
      <c r="DL61" s="18"/>
      <c r="DM61" s="18"/>
      <c r="DN61" s="18"/>
      <c r="DO61" s="18"/>
      <c r="DP61" s="18"/>
      <c r="DQ61" s="18"/>
      <c r="DR61" s="18"/>
      <c r="DS61" s="8"/>
      <c r="DT61" s="18"/>
      <c r="DU61" s="18"/>
      <c r="DV61" s="18"/>
      <c r="DW61" s="18"/>
      <c r="DX61" s="18"/>
      <c r="DY61" s="18"/>
      <c r="DZ61" s="18"/>
      <c r="EA61" s="140" t="e">
        <f t="shared" si="33"/>
        <v>#REF!</v>
      </c>
      <c r="EB61" s="71" t="e">
        <f t="shared" si="34"/>
        <v>#REF!</v>
      </c>
      <c r="EC61" s="71" t="e">
        <f t="shared" si="34"/>
        <v>#REF!</v>
      </c>
      <c r="ED61" s="34" t="e">
        <f>#REF!</f>
        <v>#REF!</v>
      </c>
      <c r="EE61" s="34" t="e">
        <f>#REF!</f>
        <v>#REF!</v>
      </c>
      <c r="EF61" s="11" t="s">
        <v>210</v>
      </c>
      <c r="EG61" s="18"/>
      <c r="EH61" s="5"/>
      <c r="EI61" s="5"/>
      <c r="EJ61" s="5"/>
      <c r="EK61" s="5"/>
      <c r="EL61" s="5"/>
      <c r="EU61" s="34">
        <v>274</v>
      </c>
      <c r="EV61" s="34">
        <v>563</v>
      </c>
      <c r="EW61" s="34" t="s">
        <v>124</v>
      </c>
      <c r="EX61" s="34">
        <v>451</v>
      </c>
      <c r="EY61" s="34">
        <v>893</v>
      </c>
      <c r="EZ61" s="34">
        <v>580</v>
      </c>
      <c r="FA61" s="34">
        <v>1082</v>
      </c>
      <c r="FB61" s="34">
        <f>SUM(EU61:FA61)</f>
        <v>3843</v>
      </c>
      <c r="FC61" s="11" t="s">
        <v>211</v>
      </c>
      <c r="FD61" s="8"/>
      <c r="FE61" s="11" t="s">
        <v>214</v>
      </c>
      <c r="FF61" s="8"/>
      <c r="FG61" s="8"/>
      <c r="FH61" s="8"/>
      <c r="FI61" s="8"/>
      <c r="FJ61" s="8">
        <f>FB61</f>
        <v>3843</v>
      </c>
      <c r="FK61" s="8">
        <f>FA61</f>
        <v>1082</v>
      </c>
      <c r="FL61" s="8">
        <f>EZ61</f>
        <v>580</v>
      </c>
      <c r="FM61" s="8">
        <f>EY61</f>
        <v>893</v>
      </c>
      <c r="FN61" s="8">
        <f>EX61</f>
        <v>451</v>
      </c>
      <c r="FO61" s="11" t="s">
        <v>124</v>
      </c>
      <c r="FP61" s="8">
        <f>EV61</f>
        <v>563</v>
      </c>
      <c r="FQ61" s="8">
        <f>EU61</f>
        <v>274</v>
      </c>
      <c r="FR61" s="8"/>
      <c r="FS61" s="5"/>
      <c r="FT61" s="5"/>
      <c r="FU61" s="5"/>
      <c r="FV61" s="5"/>
      <c r="FW61" s="6" t="s">
        <v>31</v>
      </c>
      <c r="FX61" s="6" t="s">
        <v>31</v>
      </c>
      <c r="FY61" s="6" t="s">
        <v>32</v>
      </c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17"/>
      <c r="GN61" s="13" t="s">
        <v>22</v>
      </c>
      <c r="GO61" s="17"/>
      <c r="GP61" s="17"/>
      <c r="GQ61" s="17"/>
      <c r="GR61" s="17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49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8"/>
      <c r="BN62" s="8"/>
      <c r="BO62" s="8"/>
      <c r="BP62" s="8"/>
      <c r="BQ62" s="8"/>
      <c r="BR62" s="8"/>
      <c r="BS62" s="8"/>
      <c r="BT62" s="5"/>
      <c r="BU62" s="5"/>
      <c r="BV62" s="5"/>
      <c r="BW62" s="5"/>
      <c r="BX62" s="5"/>
      <c r="BY62" s="5"/>
      <c r="BZ62" s="5"/>
      <c r="CA62" s="11" t="s">
        <v>150</v>
      </c>
      <c r="CB62" s="5"/>
      <c r="CC62" s="5"/>
      <c r="CD62" s="5"/>
      <c r="CE62" s="71"/>
      <c r="CF62" s="5"/>
      <c r="CG62" s="5"/>
      <c r="CH62" s="71" t="e">
        <f>#REF!/#REF!*100</f>
        <v>#REF!</v>
      </c>
      <c r="CI62" s="71" t="e">
        <f>#REF!/#REF!*100</f>
        <v>#REF!</v>
      </c>
      <c r="CJ62" s="71" t="e">
        <f>#REF!/#REF!*100</f>
        <v>#REF!</v>
      </c>
      <c r="CK62" s="71" t="e">
        <f>#REF!/#REF!*100</f>
        <v>#REF!</v>
      </c>
      <c r="CL62" s="71" t="e">
        <f>#REF!/#REF!*100</f>
        <v>#REF!</v>
      </c>
      <c r="CM62" s="71" t="e">
        <f>#REF!/#REF!*100</f>
        <v>#REF!</v>
      </c>
      <c r="CN62" s="72" t="s">
        <v>183</v>
      </c>
      <c r="CO62" s="71"/>
      <c r="CP62" s="71"/>
      <c r="CQ62" s="11" t="s">
        <v>184</v>
      </c>
      <c r="CR62" s="71"/>
      <c r="CS62" s="5"/>
      <c r="CT62" s="5"/>
      <c r="CU62" s="138" t="e">
        <f t="shared" si="27"/>
        <v>#REF!</v>
      </c>
      <c r="CV62" s="138" t="e">
        <f t="shared" si="28"/>
        <v>#REF!</v>
      </c>
      <c r="CW62" s="138" t="e">
        <f t="shared" si="29"/>
        <v>#REF!</v>
      </c>
      <c r="CX62" s="138" t="e">
        <f t="shared" si="30"/>
        <v>#REF!</v>
      </c>
      <c r="CY62" s="138" t="e">
        <f t="shared" si="31"/>
        <v>#REF!</v>
      </c>
      <c r="CZ62" s="138" t="e">
        <f t="shared" si="32"/>
        <v>#REF!</v>
      </c>
      <c r="DA62" s="18"/>
      <c r="DB62" s="18"/>
      <c r="DC62" s="12">
        <v>199</v>
      </c>
      <c r="DD62" s="12">
        <v>201</v>
      </c>
      <c r="DE62" s="8">
        <v>208</v>
      </c>
      <c r="DF62" s="8">
        <v>196</v>
      </c>
      <c r="DG62" s="8">
        <v>191</v>
      </c>
      <c r="DH62" s="8">
        <v>181</v>
      </c>
      <c r="DI62" s="34">
        <v>164</v>
      </c>
      <c r="DJ62" s="34">
        <v>147</v>
      </c>
      <c r="DK62" s="34">
        <v>137</v>
      </c>
      <c r="DL62" s="34">
        <v>64</v>
      </c>
      <c r="DM62" s="34">
        <v>2</v>
      </c>
      <c r="DN62" s="34">
        <v>32</v>
      </c>
      <c r="DO62" s="34">
        <v>9</v>
      </c>
      <c r="DP62" s="34">
        <v>3</v>
      </c>
      <c r="DQ62" s="34">
        <v>67</v>
      </c>
      <c r="DR62" s="34">
        <v>13</v>
      </c>
      <c r="DS62" s="11" t="s">
        <v>185</v>
      </c>
      <c r="DT62" s="18"/>
      <c r="DU62" s="18"/>
      <c r="DV62" s="18"/>
      <c r="DW62" s="18"/>
      <c r="DX62" s="18"/>
      <c r="DY62" s="18"/>
      <c r="DZ62" s="18"/>
      <c r="EA62" s="140" t="e">
        <f t="shared" si="33"/>
        <v>#REF!</v>
      </c>
      <c r="EB62" s="71" t="e">
        <f t="shared" si="34"/>
        <v>#REF!</v>
      </c>
      <c r="EC62" s="71" t="e">
        <f t="shared" si="34"/>
        <v>#REF!</v>
      </c>
      <c r="ED62" s="34" t="e">
        <f>#REF!</f>
        <v>#REF!</v>
      </c>
      <c r="EE62" s="34" t="e">
        <f>#REF!</f>
        <v>#REF!</v>
      </c>
      <c r="EF62" s="11" t="s">
        <v>211</v>
      </c>
      <c r="EG62" s="18"/>
      <c r="EH62" s="5"/>
      <c r="EI62" s="5"/>
      <c r="EJ62" s="5"/>
      <c r="EK62" s="5"/>
      <c r="EL62" s="5"/>
      <c r="EU62" s="34">
        <v>348</v>
      </c>
      <c r="EV62" s="34">
        <v>373</v>
      </c>
      <c r="EW62" s="34">
        <v>162</v>
      </c>
      <c r="EX62" s="34">
        <v>522</v>
      </c>
      <c r="EY62" s="34">
        <v>1298</v>
      </c>
      <c r="EZ62" s="34">
        <v>223</v>
      </c>
      <c r="FA62" s="34">
        <v>1203</v>
      </c>
      <c r="FB62" s="34">
        <f>SUM(EU62:FA62)</f>
        <v>4129</v>
      </c>
      <c r="FC62" s="11" t="s">
        <v>213</v>
      </c>
      <c r="FD62" s="8"/>
      <c r="FE62" s="11" t="s">
        <v>215</v>
      </c>
      <c r="FF62" s="8"/>
      <c r="FG62" s="8"/>
      <c r="FH62" s="8"/>
      <c r="FI62" s="8"/>
      <c r="FJ62" s="8">
        <f>FB62</f>
        <v>4129</v>
      </c>
      <c r="FK62" s="8">
        <f>FA62</f>
        <v>1203</v>
      </c>
      <c r="FL62" s="8">
        <f>EZ62</f>
        <v>223</v>
      </c>
      <c r="FM62" s="8">
        <f>EY62</f>
        <v>1298</v>
      </c>
      <c r="FN62" s="8">
        <f>EX62</f>
        <v>522</v>
      </c>
      <c r="FO62" s="8">
        <f>EW62</f>
        <v>162</v>
      </c>
      <c r="FP62" s="8">
        <f>EV62</f>
        <v>373</v>
      </c>
      <c r="FQ62" s="8">
        <f>EU62</f>
        <v>348</v>
      </c>
      <c r="FR62" s="5"/>
      <c r="FS62" s="5"/>
      <c r="FT62" s="5"/>
      <c r="FU62" s="5"/>
      <c r="FV62" s="6" t="s">
        <v>84</v>
      </c>
      <c r="FW62" s="6" t="s">
        <v>95</v>
      </c>
      <c r="FX62" s="6" t="s">
        <v>96</v>
      </c>
      <c r="FY62" s="6" t="s">
        <v>97</v>
      </c>
      <c r="FZ62" s="6" t="s">
        <v>72</v>
      </c>
      <c r="GA62" s="6" t="s">
        <v>64</v>
      </c>
      <c r="GB62" s="6" t="s">
        <v>48</v>
      </c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13" t="s">
        <v>60</v>
      </c>
      <c r="GN62" s="17"/>
      <c r="GO62" s="13" t="s">
        <v>33</v>
      </c>
      <c r="GP62" s="13" t="s">
        <v>62</v>
      </c>
      <c r="GQ62" s="17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ht="19.5" x14ac:dyDescent="0.35">
      <c r="A63" s="5"/>
      <c r="B63" s="5"/>
      <c r="C63" s="5"/>
      <c r="D63" s="5"/>
      <c r="E63" s="5"/>
      <c r="F63" s="5"/>
      <c r="G63" s="5"/>
      <c r="H63" s="5"/>
      <c r="I63" s="13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144"/>
      <c r="AS63" s="144"/>
      <c r="AT63" s="144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8"/>
      <c r="BM63" s="8"/>
      <c r="BN63" s="8"/>
      <c r="BO63" s="8"/>
      <c r="BP63" s="11" t="s">
        <v>186</v>
      </c>
      <c r="BQ63" s="8"/>
      <c r="BR63" s="8"/>
      <c r="BS63" s="8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141" t="e">
        <f>DI63/#REF!*100</f>
        <v>#REF!</v>
      </c>
      <c r="DD63" s="73"/>
      <c r="DE63" s="5"/>
      <c r="DF63" s="73" t="e">
        <f>#REF!</f>
        <v>#REF!</v>
      </c>
      <c r="DG63" s="73" t="e">
        <f>#REF!</f>
        <v>#REF!</v>
      </c>
      <c r="DH63" s="73" t="e">
        <f>#REF!</f>
        <v>#REF!</v>
      </c>
      <c r="DI63" s="73" t="e">
        <f>#REF!</f>
        <v>#REF!</v>
      </c>
      <c r="DJ63" s="73" t="e">
        <f>#REF!</f>
        <v>#REF!</v>
      </c>
      <c r="DK63" s="34">
        <v>411</v>
      </c>
      <c r="DL63" s="34">
        <v>375</v>
      </c>
      <c r="DM63" s="34">
        <v>369</v>
      </c>
      <c r="DN63" s="34">
        <v>357</v>
      </c>
      <c r="DO63" s="34">
        <v>342</v>
      </c>
      <c r="DP63" s="34">
        <v>373</v>
      </c>
      <c r="DQ63" s="19" t="s">
        <v>216</v>
      </c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U63" s="5"/>
      <c r="EV63" s="5"/>
      <c r="EW63" s="5"/>
      <c r="EX63" s="5"/>
      <c r="EY63" s="6" t="s">
        <v>236</v>
      </c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6" t="s">
        <v>237</v>
      </c>
      <c r="FN63" s="5"/>
      <c r="FO63" s="5"/>
      <c r="FP63" s="5"/>
      <c r="FQ63" s="5"/>
      <c r="FR63" s="5"/>
      <c r="FS63" s="5"/>
      <c r="FT63" s="5"/>
      <c r="FU63" s="5"/>
      <c r="FV63" s="34" t="e">
        <f>#REF!</f>
        <v>#REF!</v>
      </c>
      <c r="FW63" s="34" t="e">
        <f>#REF!</f>
        <v>#REF!</v>
      </c>
      <c r="FX63" s="34" t="e">
        <f>#REF!</f>
        <v>#REF!</v>
      </c>
      <c r="FY63" s="34">
        <v>1109</v>
      </c>
      <c r="FZ63" s="34" t="e">
        <f>#REF!</f>
        <v>#REF!</v>
      </c>
      <c r="GA63" s="34" t="e">
        <f>#REF!</f>
        <v>#REF!</v>
      </c>
      <c r="GB63" s="11" t="s">
        <v>157</v>
      </c>
      <c r="GC63" s="8"/>
      <c r="GD63" s="8"/>
      <c r="GE63" s="8"/>
      <c r="GF63" s="8"/>
      <c r="GG63" s="8"/>
      <c r="GH63" s="11" t="s">
        <v>233</v>
      </c>
      <c r="GI63" s="8"/>
      <c r="GJ63" s="8"/>
      <c r="GK63" s="8"/>
      <c r="GL63" s="8"/>
      <c r="GM63" s="34" t="e">
        <f>GA63</f>
        <v>#REF!</v>
      </c>
      <c r="GN63" s="34" t="e">
        <f>FZ63</f>
        <v>#REF!</v>
      </c>
      <c r="GO63" s="34">
        <f>FY63</f>
        <v>1109</v>
      </c>
      <c r="GP63" s="34" t="e">
        <f>FX63</f>
        <v>#REF!</v>
      </c>
      <c r="GQ63" s="34" t="e">
        <f>FW63</f>
        <v>#REF!</v>
      </c>
      <c r="GR63" s="34" t="e">
        <f>FV63</f>
        <v>#REF!</v>
      </c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ht="19.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144"/>
      <c r="AS64" s="144"/>
      <c r="AT64" s="144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11" t="s">
        <v>124</v>
      </c>
      <c r="BM64" s="8">
        <v>6970</v>
      </c>
      <c r="BN64" s="8">
        <v>9020</v>
      </c>
      <c r="BO64" s="8">
        <v>11130</v>
      </c>
      <c r="BP64" s="8">
        <v>16640</v>
      </c>
      <c r="BQ64" s="8">
        <v>7560</v>
      </c>
      <c r="BR64" s="8">
        <v>11860</v>
      </c>
      <c r="BS64" s="8">
        <f>SUM(BL64:BR64)</f>
        <v>63180</v>
      </c>
      <c r="BT64" s="11" t="s">
        <v>37</v>
      </c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12"/>
      <c r="DD64" s="5"/>
      <c r="DE64" s="5"/>
      <c r="DF64" s="5"/>
      <c r="DG64" s="19" t="e">
        <f>SUM(DG63:DG63)/#REF!</f>
        <v>#REF!</v>
      </c>
      <c r="DH64" s="19" t="e">
        <f>SUM(DH63:DH63)/#REF!</f>
        <v>#REF!</v>
      </c>
      <c r="DI64" s="19" t="e">
        <f>SUM(DI63:DI63)/#REF!</f>
        <v>#REF!</v>
      </c>
      <c r="DJ64" s="19" t="e">
        <f>SUM(DJ63:DJ63)/#REF!</f>
        <v>#REF!</v>
      </c>
      <c r="DK64" s="19" t="e">
        <f>SUM(DK63:DK63)/#REF!</f>
        <v>#REF!</v>
      </c>
      <c r="DL64" s="19" t="e">
        <f>SUM(DL63:DL63)/#REF!</f>
        <v>#REF!</v>
      </c>
      <c r="DM64" s="19" t="e">
        <f>SUM(DM63:DM63)/#REF!</f>
        <v>#REF!</v>
      </c>
      <c r="DN64" s="19" t="e">
        <f>SUM(DN63:DN63)/#REF!</f>
        <v>#REF!</v>
      </c>
      <c r="DO64" s="19" t="e">
        <f>SUM(DO63:DO63)/#REF!</f>
        <v>#REF!</v>
      </c>
      <c r="DP64" s="19" t="e">
        <f>SUM(DP63:DP63)/#REF!</f>
        <v>#REF!</v>
      </c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U64" s="5"/>
      <c r="EV64" s="5"/>
      <c r="EW64" s="5"/>
      <c r="EX64" s="6" t="s">
        <v>238</v>
      </c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6" t="s">
        <v>239</v>
      </c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34" t="e">
        <f>#REF!</f>
        <v>#REF!</v>
      </c>
      <c r="FW64" s="34">
        <f>DG$48</f>
        <v>234</v>
      </c>
      <c r="FX64" s="34" t="e">
        <f>#REF!</f>
        <v>#REF!</v>
      </c>
      <c r="FY64" s="34">
        <v>714</v>
      </c>
      <c r="FZ64" s="34" t="e">
        <f>#REF!</f>
        <v>#REF!</v>
      </c>
      <c r="GA64" s="34" t="e">
        <f>#REF!</f>
        <v>#REF!</v>
      </c>
      <c r="GB64" s="11" t="s">
        <v>155</v>
      </c>
      <c r="GC64" s="8"/>
      <c r="GD64" s="8"/>
      <c r="GE64" s="8"/>
      <c r="GF64" s="8"/>
      <c r="GG64" s="8"/>
      <c r="GH64" s="11" t="s">
        <v>156</v>
      </c>
      <c r="GI64" s="8"/>
      <c r="GJ64" s="8"/>
      <c r="GK64" s="8"/>
      <c r="GL64" s="8"/>
      <c r="GM64" s="34" t="e">
        <f>GA64</f>
        <v>#REF!</v>
      </c>
      <c r="GN64" s="34" t="e">
        <f>FZ64</f>
        <v>#REF!</v>
      </c>
      <c r="GO64" s="34">
        <f>FY64</f>
        <v>714</v>
      </c>
      <c r="GP64" s="34" t="e">
        <f>FX64</f>
        <v>#REF!</v>
      </c>
      <c r="GQ64" s="34">
        <f>FW64</f>
        <v>234</v>
      </c>
      <c r="GR64" s="34" t="e">
        <f>FV64</f>
        <v>#REF!</v>
      </c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ht="19.5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144"/>
      <c r="AS65" s="144"/>
      <c r="AT65" s="144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11" t="s">
        <v>124</v>
      </c>
      <c r="BM65" s="8">
        <v>7290</v>
      </c>
      <c r="BN65" s="8">
        <v>9800</v>
      </c>
      <c r="BO65" s="8">
        <v>12610</v>
      </c>
      <c r="BP65" s="8">
        <v>16690</v>
      </c>
      <c r="BQ65" s="8">
        <v>7540</v>
      </c>
      <c r="BR65" s="8">
        <v>12170</v>
      </c>
      <c r="BS65" s="8">
        <f>SUM(BL65:BR65)</f>
        <v>66100</v>
      </c>
      <c r="BT65" s="6" t="s">
        <v>36</v>
      </c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12"/>
      <c r="DD65" s="5"/>
      <c r="DE65" s="5"/>
      <c r="DF65" s="5"/>
      <c r="DG65" s="5"/>
      <c r="DH65" s="5"/>
      <c r="DI65" s="18"/>
      <c r="DJ65" s="5"/>
      <c r="DK65" s="5"/>
      <c r="DL65" s="5"/>
      <c r="DM65" s="5"/>
      <c r="DN65" s="5"/>
      <c r="DO65" s="5"/>
      <c r="DP65" s="5"/>
      <c r="DQ65" s="5"/>
      <c r="DR65" s="5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U65" s="5"/>
      <c r="EV65" s="5"/>
      <c r="EW65" s="5"/>
      <c r="EX65" s="5"/>
      <c r="EY65" s="6" t="s">
        <v>36</v>
      </c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6" t="s">
        <v>115</v>
      </c>
      <c r="FN65" s="5"/>
      <c r="FO65" s="5"/>
      <c r="FP65" s="5"/>
      <c r="FQ65" s="5"/>
      <c r="FR65" s="5"/>
      <c r="FS65" s="5"/>
      <c r="FT65" s="5"/>
      <c r="FU65" s="5"/>
      <c r="FV65" s="34" t="e">
        <f>#REF!</f>
        <v>#REF!</v>
      </c>
      <c r="FW65" s="34">
        <f>DG$49</f>
        <v>117</v>
      </c>
      <c r="FX65" s="34" t="e">
        <f>#REF!</f>
        <v>#REF!</v>
      </c>
      <c r="FY65" s="34">
        <v>591</v>
      </c>
      <c r="FZ65" s="34" t="e">
        <f>#REF!</f>
        <v>#REF!</v>
      </c>
      <c r="GA65" s="34" t="e">
        <f>#REF!</f>
        <v>#REF!</v>
      </c>
      <c r="GB65" s="11" t="s">
        <v>153</v>
      </c>
      <c r="GC65" s="8"/>
      <c r="GD65" s="8"/>
      <c r="GE65" s="8"/>
      <c r="GF65" s="8"/>
      <c r="GG65" s="8"/>
      <c r="GH65" s="11" t="s">
        <v>154</v>
      </c>
      <c r="GI65" s="8"/>
      <c r="GJ65" s="8"/>
      <c r="GK65" s="8"/>
      <c r="GL65" s="8"/>
      <c r="GM65" s="34" t="e">
        <f>GA65</f>
        <v>#REF!</v>
      </c>
      <c r="GN65" s="34" t="e">
        <f>FZ65</f>
        <v>#REF!</v>
      </c>
      <c r="GO65" s="34">
        <f>FY65</f>
        <v>591</v>
      </c>
      <c r="GP65" s="34" t="e">
        <f>FX65</f>
        <v>#REF!</v>
      </c>
      <c r="GQ65" s="34">
        <f>FW65</f>
        <v>117</v>
      </c>
      <c r="GR65" s="34" t="e">
        <f>FV65</f>
        <v>#REF!</v>
      </c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8">
        <f t="shared" ref="BL66:BS66" si="36">BL65-BL64</f>
        <v>0</v>
      </c>
      <c r="BM66" s="8">
        <f t="shared" si="36"/>
        <v>320</v>
      </c>
      <c r="BN66" s="8">
        <f t="shared" si="36"/>
        <v>780</v>
      </c>
      <c r="BO66" s="8">
        <f t="shared" si="36"/>
        <v>1480</v>
      </c>
      <c r="BP66" s="8">
        <f t="shared" si="36"/>
        <v>50</v>
      </c>
      <c r="BQ66" s="8">
        <f t="shared" si="36"/>
        <v>-20</v>
      </c>
      <c r="BR66" s="8">
        <f t="shared" si="36"/>
        <v>310</v>
      </c>
      <c r="BS66" s="8">
        <f t="shared" si="36"/>
        <v>2920</v>
      </c>
      <c r="BT66" s="6" t="s">
        <v>254</v>
      </c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12"/>
      <c r="DD66" s="5"/>
      <c r="DE66" s="5"/>
      <c r="DF66" s="6" t="s">
        <v>40</v>
      </c>
      <c r="DG66" s="5"/>
      <c r="DH66" s="5"/>
      <c r="DI66" s="18"/>
      <c r="DJ66" s="6" t="s">
        <v>161</v>
      </c>
      <c r="DK66" s="6" t="s">
        <v>257</v>
      </c>
      <c r="DL66" s="5"/>
      <c r="DM66" s="5"/>
      <c r="DN66" s="6" t="s">
        <v>113</v>
      </c>
      <c r="DO66" s="6" t="s">
        <v>161</v>
      </c>
      <c r="DP66" s="5"/>
      <c r="DQ66" s="5"/>
      <c r="DR66" s="5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U66" s="5"/>
      <c r="EV66" s="5"/>
      <c r="EW66" s="5"/>
      <c r="EX66" s="6" t="s">
        <v>23</v>
      </c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6" t="s">
        <v>24</v>
      </c>
      <c r="FM66" s="5"/>
      <c r="FN66" s="5"/>
      <c r="FO66" s="5"/>
      <c r="FP66" s="5"/>
      <c r="FQ66" s="5"/>
      <c r="FR66" s="5"/>
      <c r="FS66" s="5"/>
      <c r="FT66" s="5"/>
      <c r="FU66" s="5"/>
      <c r="FV66" s="34" t="e">
        <f>#REF!</f>
        <v>#REF!</v>
      </c>
      <c r="FW66" s="34">
        <f>DG$50</f>
        <v>1</v>
      </c>
      <c r="FX66" s="34" t="e">
        <f>#REF!</f>
        <v>#REF!</v>
      </c>
      <c r="FY66" s="34">
        <v>120</v>
      </c>
      <c r="FZ66" s="34" t="e">
        <f>#REF!</f>
        <v>#REF!</v>
      </c>
      <c r="GA66" s="34" t="e">
        <f>#REF!</f>
        <v>#REF!</v>
      </c>
      <c r="GB66" s="11" t="s">
        <v>151</v>
      </c>
      <c r="GC66" s="8"/>
      <c r="GD66" s="8"/>
      <c r="GE66" s="8"/>
      <c r="GF66" s="8"/>
      <c r="GG66" s="8"/>
      <c r="GH66" s="11" t="s">
        <v>234</v>
      </c>
      <c r="GI66" s="8"/>
      <c r="GJ66" s="8"/>
      <c r="GK66" s="8"/>
      <c r="GL66" s="8"/>
      <c r="GM66" s="34" t="e">
        <f>GA66</f>
        <v>#REF!</v>
      </c>
      <c r="GN66" s="34" t="e">
        <f>FZ66</f>
        <v>#REF!</v>
      </c>
      <c r="GO66" s="34">
        <f>FY66</f>
        <v>120</v>
      </c>
      <c r="GP66" s="34" t="e">
        <f>FX66</f>
        <v>#REF!</v>
      </c>
      <c r="GQ66" s="34">
        <f>FW66</f>
        <v>1</v>
      </c>
      <c r="GR66" s="34" t="e">
        <f>FV66</f>
        <v>#REF!</v>
      </c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8"/>
      <c r="BM67" s="8"/>
      <c r="BN67" s="8"/>
      <c r="BO67" s="8"/>
      <c r="BP67" s="11" t="s">
        <v>86</v>
      </c>
      <c r="BQ67" s="8"/>
      <c r="BR67" s="8"/>
      <c r="BS67" s="8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12"/>
      <c r="DD67" s="5"/>
      <c r="DE67" s="5"/>
      <c r="DF67" s="6" t="s">
        <v>258</v>
      </c>
      <c r="DG67" s="5"/>
      <c r="DH67" s="6" t="s">
        <v>40</v>
      </c>
      <c r="DI67" s="5"/>
      <c r="DJ67" s="6" t="s">
        <v>258</v>
      </c>
      <c r="DK67" s="5"/>
      <c r="DL67" s="5"/>
      <c r="DM67" s="6" t="s">
        <v>31</v>
      </c>
      <c r="DN67" s="6" t="s">
        <v>31</v>
      </c>
      <c r="DO67" s="6" t="s">
        <v>31</v>
      </c>
      <c r="DP67" s="5"/>
      <c r="DQ67" s="5"/>
      <c r="DR67" s="5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U67" s="6" t="s">
        <v>26</v>
      </c>
      <c r="EV67" s="6" t="s">
        <v>27</v>
      </c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6" t="s">
        <v>28</v>
      </c>
      <c r="FQ67" s="6" t="s">
        <v>29</v>
      </c>
      <c r="FR67" s="5"/>
      <c r="FS67" s="5"/>
      <c r="FT67" s="5"/>
      <c r="FU67" s="5"/>
      <c r="FV67" s="34"/>
      <c r="FW67" s="34"/>
      <c r="FX67" s="34"/>
      <c r="FY67" s="34"/>
      <c r="FZ67" s="34"/>
      <c r="GA67" s="34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34"/>
      <c r="GN67" s="34"/>
      <c r="GO67" s="34"/>
      <c r="GP67" s="34"/>
      <c r="GQ67" s="34"/>
      <c r="GR67" s="34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8">
        <v>230</v>
      </c>
      <c r="BM68" s="8">
        <v>1720</v>
      </c>
      <c r="BN68" s="8">
        <v>2140</v>
      </c>
      <c r="BO68" s="8">
        <v>2800</v>
      </c>
      <c r="BP68" s="8">
        <v>7130</v>
      </c>
      <c r="BQ68" s="8">
        <v>2210</v>
      </c>
      <c r="BR68" s="8">
        <v>5750</v>
      </c>
      <c r="BS68" s="8">
        <f>SUM(BL68:BR68)</f>
        <v>21980</v>
      </c>
      <c r="BT68" s="11" t="s">
        <v>37</v>
      </c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12"/>
      <c r="DD68" s="5"/>
      <c r="DE68" s="5"/>
      <c r="DF68" s="6" t="s">
        <v>72</v>
      </c>
      <c r="DG68" s="6" t="s">
        <v>259</v>
      </c>
      <c r="DH68" s="6" t="s">
        <v>81</v>
      </c>
      <c r="DI68" s="5"/>
      <c r="DJ68" s="6" t="s">
        <v>72</v>
      </c>
      <c r="DK68" s="6" t="s">
        <v>259</v>
      </c>
      <c r="DL68" s="6" t="s">
        <v>84</v>
      </c>
      <c r="DM68" s="6" t="s">
        <v>95</v>
      </c>
      <c r="DN68" s="6" t="s">
        <v>96</v>
      </c>
      <c r="DO68" s="6" t="s">
        <v>30</v>
      </c>
      <c r="DP68" s="6" t="s">
        <v>72</v>
      </c>
      <c r="DQ68" s="5"/>
      <c r="DR68" s="5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U68" s="6" t="s">
        <v>49</v>
      </c>
      <c r="EV68" s="6" t="s">
        <v>50</v>
      </c>
      <c r="EW68" s="6" t="s">
        <v>27</v>
      </c>
      <c r="EX68" s="6" t="s">
        <v>27</v>
      </c>
      <c r="EY68" s="6" t="s">
        <v>27</v>
      </c>
      <c r="EZ68" s="5"/>
      <c r="FA68" s="6" t="s">
        <v>51</v>
      </c>
      <c r="FB68" s="5"/>
      <c r="FC68" s="5"/>
      <c r="FD68" s="5"/>
      <c r="FE68" s="5"/>
      <c r="FF68" s="5"/>
      <c r="FG68" s="5"/>
      <c r="FH68" s="5"/>
      <c r="FI68" s="5"/>
      <c r="FJ68" s="5"/>
      <c r="FK68" s="6" t="s">
        <v>52</v>
      </c>
      <c r="FL68" s="5"/>
      <c r="FM68" s="6" t="s">
        <v>53</v>
      </c>
      <c r="FN68" s="6" t="s">
        <v>54</v>
      </c>
      <c r="FO68" s="6" t="s">
        <v>55</v>
      </c>
      <c r="FP68" s="6" t="s">
        <v>56</v>
      </c>
      <c r="FQ68" s="6" t="s">
        <v>57</v>
      </c>
      <c r="FR68" s="5"/>
      <c r="FS68" s="5"/>
      <c r="FT68" s="5"/>
      <c r="FU68" s="5"/>
      <c r="FV68" s="34" t="e">
        <f>#REF!</f>
        <v>#REF!</v>
      </c>
      <c r="FW68" s="34">
        <f>DG$52</f>
        <v>548</v>
      </c>
      <c r="FX68" s="34" t="e">
        <f>#REF!</f>
        <v>#REF!</v>
      </c>
      <c r="FY68" s="34">
        <f>FY70+FY71</f>
        <v>5975</v>
      </c>
      <c r="FZ68" s="34" t="e">
        <f>#REF!</f>
        <v>#REF!</v>
      </c>
      <c r="GA68" s="34" t="e">
        <f>#REF!</f>
        <v>#REF!</v>
      </c>
      <c r="GB68" s="11" t="s">
        <v>166</v>
      </c>
      <c r="GC68" s="8"/>
      <c r="GD68" s="8"/>
      <c r="GE68" s="8"/>
      <c r="GF68" s="8"/>
      <c r="GG68" s="8"/>
      <c r="GH68" s="11" t="s">
        <v>218</v>
      </c>
      <c r="GI68" s="8"/>
      <c r="GJ68" s="8"/>
      <c r="GK68" s="8"/>
      <c r="GL68" s="8"/>
      <c r="GM68" s="34" t="e">
        <f>GA68</f>
        <v>#REF!</v>
      </c>
      <c r="GN68" s="34" t="e">
        <f>FZ68</f>
        <v>#REF!</v>
      </c>
      <c r="GO68" s="34">
        <f>FY68</f>
        <v>5975</v>
      </c>
      <c r="GP68" s="34" t="e">
        <f>FX68</f>
        <v>#REF!</v>
      </c>
      <c r="GQ68" s="34">
        <f>FW68</f>
        <v>548</v>
      </c>
      <c r="GR68" s="34" t="e">
        <f>FV68</f>
        <v>#REF!</v>
      </c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8">
        <v>220</v>
      </c>
      <c r="BM69" s="8">
        <v>1930</v>
      </c>
      <c r="BN69" s="8">
        <v>2320</v>
      </c>
      <c r="BO69" s="8">
        <v>3110</v>
      </c>
      <c r="BP69" s="8">
        <v>7800</v>
      </c>
      <c r="BQ69" s="8">
        <v>2240</v>
      </c>
      <c r="BR69" s="8">
        <v>5930</v>
      </c>
      <c r="BS69" s="8">
        <f>SUM(BL69:BR69)</f>
        <v>23550</v>
      </c>
      <c r="BT69" s="6" t="s">
        <v>36</v>
      </c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12"/>
      <c r="DD69" s="5"/>
      <c r="DE69" s="5"/>
      <c r="DF69" s="73" t="e">
        <f>SUM(DF70:DF76)</f>
        <v>#REF!</v>
      </c>
      <c r="DG69" s="73">
        <f>'[2]T308-317'!GH20</f>
        <v>1877</v>
      </c>
      <c r="DH69" s="8" t="e">
        <f>#REF!</f>
        <v>#REF!</v>
      </c>
      <c r="DI69" s="5"/>
      <c r="DJ69" s="73" t="e">
        <f>SUM(DJ70:DJ76)</f>
        <v>#REF!</v>
      </c>
      <c r="DK69" s="73">
        <f>'[2]T308-317'!$GH$23</f>
        <v>3288</v>
      </c>
      <c r="DL69" s="8" t="e">
        <f>#REF!</f>
        <v>#REF!</v>
      </c>
      <c r="DM69" s="8" t="e">
        <f>#REF!</f>
        <v>#REF!</v>
      </c>
      <c r="DN69" s="8" t="e">
        <f>#REF!</f>
        <v>#REF!</v>
      </c>
      <c r="DO69" s="8" t="e">
        <f>#REF!</f>
        <v>#REF!</v>
      </c>
      <c r="DP69" s="8" t="e">
        <f>DH$9</f>
        <v>#REF!</v>
      </c>
      <c r="DQ69" s="6" t="s">
        <v>72</v>
      </c>
      <c r="DR69" s="5"/>
      <c r="DS69" s="5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U69" s="6" t="s">
        <v>65</v>
      </c>
      <c r="EV69" s="6" t="s">
        <v>66</v>
      </c>
      <c r="EW69" s="6" t="s">
        <v>67</v>
      </c>
      <c r="EX69" s="6" t="s">
        <v>68</v>
      </c>
      <c r="EY69" s="6" t="s">
        <v>244</v>
      </c>
      <c r="EZ69" s="6" t="s">
        <v>70</v>
      </c>
      <c r="FA69" s="6" t="s">
        <v>71</v>
      </c>
      <c r="FB69" s="6" t="s">
        <v>72</v>
      </c>
      <c r="FC69" s="6" t="s">
        <v>48</v>
      </c>
      <c r="FD69" s="5"/>
      <c r="FE69" s="6" t="s">
        <v>74</v>
      </c>
      <c r="FF69" s="5"/>
      <c r="FG69" s="5"/>
      <c r="FH69" s="5"/>
      <c r="FI69" s="5"/>
      <c r="FJ69" s="13" t="s">
        <v>75</v>
      </c>
      <c r="FK69" s="6" t="s">
        <v>76</v>
      </c>
      <c r="FL69" s="6" t="s">
        <v>77</v>
      </c>
      <c r="FM69" s="6" t="s">
        <v>76</v>
      </c>
      <c r="FN69" s="6" t="s">
        <v>76</v>
      </c>
      <c r="FO69" s="6" t="s">
        <v>76</v>
      </c>
      <c r="FP69" s="6" t="s">
        <v>78</v>
      </c>
      <c r="FQ69" s="13" t="s">
        <v>79</v>
      </c>
      <c r="FR69" s="5"/>
      <c r="FS69" s="5"/>
      <c r="FT69" s="5"/>
      <c r="FU69" s="5"/>
      <c r="FV69" s="34"/>
      <c r="FW69" s="34"/>
      <c r="FX69" s="34"/>
      <c r="FY69" s="34"/>
      <c r="FZ69" s="34"/>
      <c r="GA69" s="34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34"/>
      <c r="GN69" s="34"/>
      <c r="GO69" s="34"/>
      <c r="GP69" s="34"/>
      <c r="GQ69" s="34"/>
      <c r="GR69" s="34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ht="19.5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143" t="s">
        <v>255</v>
      </c>
      <c r="AN70" s="144"/>
      <c r="AO70" s="144"/>
      <c r="AP70" s="144"/>
      <c r="AQ70" s="14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8">
        <f t="shared" ref="BL70:BS70" si="37">BL69-BL68</f>
        <v>-10</v>
      </c>
      <c r="BM70" s="8">
        <f t="shared" si="37"/>
        <v>210</v>
      </c>
      <c r="BN70" s="8">
        <f t="shared" si="37"/>
        <v>180</v>
      </c>
      <c r="BO70" s="8">
        <f t="shared" si="37"/>
        <v>310</v>
      </c>
      <c r="BP70" s="8">
        <f t="shared" si="37"/>
        <v>670</v>
      </c>
      <c r="BQ70" s="8">
        <f t="shared" si="37"/>
        <v>30</v>
      </c>
      <c r="BR70" s="8">
        <f t="shared" si="37"/>
        <v>180</v>
      </c>
      <c r="BS70" s="8">
        <f t="shared" si="37"/>
        <v>1570</v>
      </c>
      <c r="BT70" s="6" t="s">
        <v>254</v>
      </c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12"/>
      <c r="DD70" s="5"/>
      <c r="DF70" s="73" t="e">
        <f t="shared" ref="DF70:DF76" si="38">(DG70+DH70)/($DG$69+$DH$69)*100</f>
        <v>#REF!</v>
      </c>
      <c r="DG70" s="73">
        <f>SUM('[2]T308-317'!GD20:GE20)</f>
        <v>0</v>
      </c>
      <c r="DH70" s="8" t="e">
        <f>#REF!</f>
        <v>#REF!</v>
      </c>
      <c r="DI70" s="5"/>
      <c r="DJ70" s="73" t="e">
        <f t="shared" ref="DJ70:DJ76" si="39">(DK70+DO70)/($DK$69+$DO$69)*100</f>
        <v>#REF!</v>
      </c>
      <c r="DK70" s="73">
        <f>SUM('[2]T308-317'!$GD$23:$GE$23)</f>
        <v>2200</v>
      </c>
      <c r="DL70" s="8" t="e">
        <f>#REF!</f>
        <v>#REF!</v>
      </c>
      <c r="DM70" s="8" t="e">
        <f>#REF!</f>
        <v>#REF!</v>
      </c>
      <c r="DN70" s="8" t="e">
        <f>#REF!</f>
        <v>#REF!</v>
      </c>
      <c r="DO70" s="8" t="e">
        <f>#REF!</f>
        <v>#REF!</v>
      </c>
      <c r="DP70" s="8">
        <f>DH$11</f>
        <v>0</v>
      </c>
      <c r="DQ70" s="19" t="s">
        <v>260</v>
      </c>
      <c r="DR70" s="5"/>
      <c r="DS70" s="5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6" t="s">
        <v>125</v>
      </c>
      <c r="FN70" s="5"/>
      <c r="FO70" s="5"/>
      <c r="FP70" s="5"/>
      <c r="FQ70" s="5"/>
      <c r="FR70" s="5"/>
      <c r="FS70" s="5"/>
      <c r="FT70" s="5"/>
      <c r="FU70" s="5"/>
      <c r="FV70" s="34" t="e">
        <f>#REF!</f>
        <v>#REF!</v>
      </c>
      <c r="FW70" s="34">
        <f>DG$55</f>
        <v>472</v>
      </c>
      <c r="FX70" s="34" t="e">
        <f>#REF!</f>
        <v>#REF!</v>
      </c>
      <c r="FY70" s="34">
        <v>5421</v>
      </c>
      <c r="FZ70" s="34" t="e">
        <f>#REF!</f>
        <v>#REF!</v>
      </c>
      <c r="GA70" s="34" t="e">
        <f>#REF!</f>
        <v>#REF!</v>
      </c>
      <c r="GB70" s="11" t="s">
        <v>164</v>
      </c>
      <c r="GC70" s="8"/>
      <c r="GD70" s="8"/>
      <c r="GE70" s="8"/>
      <c r="GF70" s="8"/>
      <c r="GG70" s="8"/>
      <c r="GH70" s="11" t="s">
        <v>165</v>
      </c>
      <c r="GI70" s="8"/>
      <c r="GJ70" s="8"/>
      <c r="GK70" s="8"/>
      <c r="GL70" s="8"/>
      <c r="GM70" s="34" t="e">
        <f>GA70</f>
        <v>#REF!</v>
      </c>
      <c r="GN70" s="34" t="e">
        <f>FZ70</f>
        <v>#REF!</v>
      </c>
      <c r="GO70" s="34">
        <f>FY70</f>
        <v>5421</v>
      </c>
      <c r="GP70" s="34" t="e">
        <f>FX70</f>
        <v>#REF!</v>
      </c>
      <c r="GQ70" s="34">
        <f>FW70</f>
        <v>472</v>
      </c>
      <c r="GR70" s="34" t="e">
        <f>FV70</f>
        <v>#REF!</v>
      </c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ht="19.5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142"/>
      <c r="AN71" s="144"/>
      <c r="AO71" s="144"/>
      <c r="AP71" s="144"/>
      <c r="AQ71" s="14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8"/>
      <c r="BM71" s="8"/>
      <c r="BN71" s="8"/>
      <c r="BO71" s="8"/>
      <c r="BP71" s="11" t="s">
        <v>85</v>
      </c>
      <c r="BQ71" s="8"/>
      <c r="BR71" s="8"/>
      <c r="BS71" s="8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12"/>
      <c r="DD71" s="5"/>
      <c r="DE71" s="5"/>
      <c r="DF71" s="73" t="e">
        <f t="shared" si="38"/>
        <v>#REF!</v>
      </c>
      <c r="DG71" s="73">
        <f>'[2]T308-317'!GF20</f>
        <v>4746</v>
      </c>
      <c r="DH71" s="8" t="e">
        <f>#REF!</f>
        <v>#REF!</v>
      </c>
      <c r="DI71" s="5"/>
      <c r="DJ71" s="73" t="e">
        <f t="shared" si="39"/>
        <v>#REF!</v>
      </c>
      <c r="DK71" s="73">
        <f>'[2]T308-317'!$GF$23</f>
        <v>8043</v>
      </c>
      <c r="DL71" s="8" t="e">
        <f>#REF!</f>
        <v>#REF!</v>
      </c>
      <c r="DM71" s="8">
        <f>DH$52</f>
        <v>521</v>
      </c>
      <c r="DN71" s="8" t="e">
        <f>#REF!</f>
        <v>#REF!</v>
      </c>
      <c r="DO71" s="8" t="e">
        <f>#REF!</f>
        <v>#REF!</v>
      </c>
      <c r="DP71" s="8" t="e">
        <f>#REF!</f>
        <v>#REF!</v>
      </c>
      <c r="DQ71" s="19" t="s">
        <v>261</v>
      </c>
      <c r="DR71" s="5"/>
      <c r="DS71" s="5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U71" s="34">
        <f t="shared" ref="EU71:FA71" si="40">EU73+EU81+EU86+EU88+EU93+EU99+EU101</f>
        <v>770</v>
      </c>
      <c r="EV71" s="34">
        <f t="shared" si="40"/>
        <v>10340</v>
      </c>
      <c r="EW71" s="34">
        <f t="shared" si="40"/>
        <v>12440</v>
      </c>
      <c r="EX71" s="34">
        <f t="shared" si="40"/>
        <v>16890</v>
      </c>
      <c r="EY71" s="34">
        <f t="shared" si="40"/>
        <v>26030</v>
      </c>
      <c r="EZ71" s="34">
        <f t="shared" si="40"/>
        <v>10480</v>
      </c>
      <c r="FA71" s="34">
        <f t="shared" si="40"/>
        <v>20300</v>
      </c>
      <c r="FB71" s="34">
        <f>SUM(EU71:FA71)</f>
        <v>97250</v>
      </c>
      <c r="FC71" s="11" t="s">
        <v>64</v>
      </c>
      <c r="FD71" s="8"/>
      <c r="FE71" s="11" t="s">
        <v>101</v>
      </c>
      <c r="FF71" s="8"/>
      <c r="FG71" s="8"/>
      <c r="FH71" s="8"/>
      <c r="FI71" s="8"/>
      <c r="FJ71" s="8">
        <f>FB71</f>
        <v>97250</v>
      </c>
      <c r="FK71" s="8">
        <f>FA71</f>
        <v>20300</v>
      </c>
      <c r="FL71" s="8">
        <f>EZ71</f>
        <v>10480</v>
      </c>
      <c r="FM71" s="8">
        <f>EY71</f>
        <v>26030</v>
      </c>
      <c r="FN71" s="8">
        <f>EX71</f>
        <v>16890</v>
      </c>
      <c r="FO71" s="8">
        <f>EW71</f>
        <v>12440</v>
      </c>
      <c r="FP71" s="8">
        <f>EV71</f>
        <v>10340</v>
      </c>
      <c r="FQ71" s="8">
        <f>EU71</f>
        <v>770</v>
      </c>
      <c r="FR71" s="5"/>
      <c r="FS71" s="5"/>
      <c r="FT71" s="5"/>
      <c r="FU71" s="5"/>
      <c r="FV71" s="34" t="e">
        <f>#REF!</f>
        <v>#REF!</v>
      </c>
      <c r="FW71" s="34">
        <f>DG$56</f>
        <v>76</v>
      </c>
      <c r="FX71" s="34" t="e">
        <f>#REF!</f>
        <v>#REF!</v>
      </c>
      <c r="FY71" s="34">
        <v>554</v>
      </c>
      <c r="FZ71" s="34" t="e">
        <f>#REF!</f>
        <v>#REF!</v>
      </c>
      <c r="GA71" s="34" t="e">
        <f>#REF!</f>
        <v>#REF!</v>
      </c>
      <c r="GB71" s="11" t="s">
        <v>162</v>
      </c>
      <c r="GC71" s="8"/>
      <c r="GD71" s="8"/>
      <c r="GE71" s="8"/>
      <c r="GF71" s="8"/>
      <c r="GG71" s="8"/>
      <c r="GH71" s="11" t="s">
        <v>174</v>
      </c>
      <c r="GI71" s="8"/>
      <c r="GJ71" s="8"/>
      <c r="GK71" s="8"/>
      <c r="GL71" s="8"/>
      <c r="GM71" s="34" t="e">
        <f>GA71</f>
        <v>#REF!</v>
      </c>
      <c r="GN71" s="34" t="e">
        <f>FZ71</f>
        <v>#REF!</v>
      </c>
      <c r="GO71" s="34">
        <f>FY71</f>
        <v>554</v>
      </c>
      <c r="GP71" s="34" t="e">
        <f>FX71</f>
        <v>#REF!</v>
      </c>
      <c r="GQ71" s="34">
        <f>FW71</f>
        <v>76</v>
      </c>
      <c r="GR71" s="34" t="e">
        <f>FV71</f>
        <v>#REF!</v>
      </c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249" ht="19.5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143" t="s">
        <v>256</v>
      </c>
      <c r="AN72" s="144"/>
      <c r="AO72" s="144"/>
      <c r="AP72" s="144"/>
      <c r="AQ72" s="14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8">
        <v>520</v>
      </c>
      <c r="BM72" s="8">
        <v>340</v>
      </c>
      <c r="BN72" s="8">
        <v>120</v>
      </c>
      <c r="BO72" s="8">
        <v>580</v>
      </c>
      <c r="BP72" s="8">
        <v>1090</v>
      </c>
      <c r="BQ72" s="8">
        <v>670</v>
      </c>
      <c r="BR72" s="8">
        <v>1840</v>
      </c>
      <c r="BS72" s="8">
        <f>SUM(BL72:BR72)</f>
        <v>5160</v>
      </c>
      <c r="BT72" s="11" t="s">
        <v>37</v>
      </c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12"/>
      <c r="DD72" s="5"/>
      <c r="DE72" s="5"/>
      <c r="DF72" s="73" t="e">
        <f t="shared" si="38"/>
        <v>#REF!</v>
      </c>
      <c r="DG72" s="73">
        <f>'[2]T308-317'!GC20</f>
        <v>7.021916000879572</v>
      </c>
      <c r="DH72" s="8" t="e">
        <f>#REF!</f>
        <v>#REF!</v>
      </c>
      <c r="DI72" s="5"/>
      <c r="DJ72" s="73" t="e">
        <f t="shared" si="39"/>
        <v>#REF!</v>
      </c>
      <c r="DK72" s="73">
        <f>'[2]T308-317'!$GC$23</f>
        <v>12.255369053727186</v>
      </c>
      <c r="DL72" s="34" t="e">
        <f>#REF!</f>
        <v>#REF!</v>
      </c>
      <c r="DM72" s="8">
        <f>DH$58</f>
        <v>49</v>
      </c>
      <c r="DN72" s="8" t="e">
        <f>#REF!</f>
        <v>#REF!</v>
      </c>
      <c r="DO72" s="8" t="e">
        <f>#REF!</f>
        <v>#REF!</v>
      </c>
      <c r="DP72" s="8">
        <f>DH$14</f>
        <v>0</v>
      </c>
      <c r="DQ72" s="19" t="s">
        <v>172</v>
      </c>
      <c r="DR72" s="5"/>
      <c r="DS72" s="5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U72" s="34"/>
      <c r="EV72" s="34"/>
      <c r="EW72" s="34"/>
      <c r="EX72" s="34"/>
      <c r="EY72" s="34"/>
      <c r="EZ72" s="34"/>
      <c r="FA72" s="34"/>
      <c r="FB72" s="34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5"/>
      <c r="FS72" s="5"/>
      <c r="FT72" s="5"/>
      <c r="FU72" s="5"/>
      <c r="FV72" s="34"/>
      <c r="FW72" s="34"/>
      <c r="FX72" s="34"/>
      <c r="FY72" s="34"/>
      <c r="FZ72" s="34"/>
      <c r="GA72" s="34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34"/>
      <c r="GN72" s="34"/>
      <c r="GO72" s="34"/>
      <c r="GP72" s="34"/>
      <c r="GQ72" s="34"/>
      <c r="GR72" s="34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ht="19.5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142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8">
        <v>550</v>
      </c>
      <c r="BM73" s="8">
        <v>380</v>
      </c>
      <c r="BN73" s="8">
        <v>130</v>
      </c>
      <c r="BO73" s="8">
        <v>610</v>
      </c>
      <c r="BP73" s="8">
        <v>1160</v>
      </c>
      <c r="BQ73" s="8">
        <v>650</v>
      </c>
      <c r="BR73" s="8">
        <v>1950</v>
      </c>
      <c r="BS73" s="8">
        <f>SUM(BL73:BR73)</f>
        <v>5430</v>
      </c>
      <c r="BT73" s="6" t="s">
        <v>36</v>
      </c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12"/>
      <c r="DD73" s="5"/>
      <c r="DE73" s="5"/>
      <c r="DF73" s="73" t="e">
        <f t="shared" si="38"/>
        <v>#REF!</v>
      </c>
      <c r="DG73" s="6" t="s">
        <v>124</v>
      </c>
      <c r="DH73" s="8" t="e">
        <f>#REF!</f>
        <v>#REF!</v>
      </c>
      <c r="DI73" s="5"/>
      <c r="DJ73" s="73" t="e">
        <f t="shared" si="39"/>
        <v>#REF!</v>
      </c>
      <c r="DK73" s="6" t="s">
        <v>124</v>
      </c>
      <c r="DL73" s="34" t="e">
        <f>#REF!</f>
        <v>#REF!</v>
      </c>
      <c r="DM73" s="8" t="e">
        <f>DH$60</f>
        <v>#REF!</v>
      </c>
      <c r="DN73" s="8" t="e">
        <f>#REF!</f>
        <v>#REF!</v>
      </c>
      <c r="DO73" s="8" t="e">
        <f>#REF!</f>
        <v>#REF!</v>
      </c>
      <c r="DP73" s="8" t="e">
        <f>#REF!</f>
        <v>#REF!</v>
      </c>
      <c r="DQ73" s="19" t="s">
        <v>262</v>
      </c>
      <c r="DR73" s="5"/>
      <c r="DS73" s="5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U73" s="34">
        <f t="shared" ref="EU73:FA73" si="41">SUM(EU74:EU79)</f>
        <v>11</v>
      </c>
      <c r="EV73" s="34">
        <f t="shared" si="41"/>
        <v>2220</v>
      </c>
      <c r="EW73" s="34">
        <f t="shared" si="41"/>
        <v>5725</v>
      </c>
      <c r="EX73" s="34">
        <f t="shared" si="41"/>
        <v>7424</v>
      </c>
      <c r="EY73" s="34">
        <f t="shared" si="41"/>
        <v>7478</v>
      </c>
      <c r="EZ73" s="34">
        <f t="shared" si="41"/>
        <v>210</v>
      </c>
      <c r="FA73" s="34">
        <f t="shared" si="41"/>
        <v>6882</v>
      </c>
      <c r="FB73" s="34">
        <f>SUM(EU73:FA73)</f>
        <v>29950</v>
      </c>
      <c r="FC73" s="11" t="s">
        <v>130</v>
      </c>
      <c r="FD73" s="8"/>
      <c r="FE73" s="11" t="s">
        <v>139</v>
      </c>
      <c r="FF73" s="8"/>
      <c r="FG73" s="8"/>
      <c r="FH73" s="8"/>
      <c r="FI73" s="8"/>
      <c r="FJ73" s="8">
        <f>FB73</f>
        <v>29950</v>
      </c>
      <c r="FK73" s="8">
        <f>FA73</f>
        <v>6882</v>
      </c>
      <c r="FL73" s="8">
        <f>EZ73</f>
        <v>210</v>
      </c>
      <c r="FM73" s="8">
        <f>EY73</f>
        <v>7478</v>
      </c>
      <c r="FN73" s="8">
        <f>EX73</f>
        <v>7424</v>
      </c>
      <c r="FO73" s="8">
        <f>EW73</f>
        <v>5725</v>
      </c>
      <c r="FP73" s="8">
        <f>EV73</f>
        <v>2220</v>
      </c>
      <c r="FQ73" s="8">
        <f>EU73</f>
        <v>11</v>
      </c>
      <c r="FR73" s="5"/>
      <c r="FS73" s="5"/>
      <c r="FT73" s="5"/>
      <c r="FU73" s="5"/>
      <c r="FV73" s="34" t="e">
        <f>#REF!</f>
        <v>#REF!</v>
      </c>
      <c r="FW73" s="34">
        <f>DG$58</f>
        <v>51</v>
      </c>
      <c r="FX73" s="34" t="e">
        <f>#REF!</f>
        <v>#REF!</v>
      </c>
      <c r="FY73" s="34">
        <v>949</v>
      </c>
      <c r="FZ73" s="34" t="e">
        <f>#REF!</f>
        <v>#REF!</v>
      </c>
      <c r="GA73" s="34">
        <f>DG$14</f>
        <v>0</v>
      </c>
      <c r="GB73" s="11" t="s">
        <v>172</v>
      </c>
      <c r="GC73" s="8"/>
      <c r="GD73" s="8"/>
      <c r="GE73" s="8"/>
      <c r="GF73" s="8"/>
      <c r="GG73" s="8"/>
      <c r="GH73" s="11" t="s">
        <v>163</v>
      </c>
      <c r="GI73" s="8"/>
      <c r="GJ73" s="8"/>
      <c r="GK73" s="8"/>
      <c r="GL73" s="8"/>
      <c r="GM73" s="34">
        <f>GA73</f>
        <v>0</v>
      </c>
      <c r="GN73" s="34" t="e">
        <f>FZ73</f>
        <v>#REF!</v>
      </c>
      <c r="GO73" s="34">
        <f>FY73</f>
        <v>949</v>
      </c>
      <c r="GP73" s="34" t="e">
        <f>FX73</f>
        <v>#REF!</v>
      </c>
      <c r="GQ73" s="34">
        <f>FW73</f>
        <v>51</v>
      </c>
      <c r="GR73" s="34" t="e">
        <f>FV73</f>
        <v>#REF!</v>
      </c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8">
        <f t="shared" ref="BL74:BS74" si="42">BL73-BL72</f>
        <v>30</v>
      </c>
      <c r="BM74" s="8">
        <f t="shared" si="42"/>
        <v>40</v>
      </c>
      <c r="BN74" s="8">
        <f t="shared" si="42"/>
        <v>10</v>
      </c>
      <c r="BO74" s="8">
        <f t="shared" si="42"/>
        <v>30</v>
      </c>
      <c r="BP74" s="8">
        <f t="shared" si="42"/>
        <v>70</v>
      </c>
      <c r="BQ74" s="8">
        <f t="shared" si="42"/>
        <v>-20</v>
      </c>
      <c r="BR74" s="8">
        <f t="shared" si="42"/>
        <v>110</v>
      </c>
      <c r="BS74" s="8">
        <f t="shared" si="42"/>
        <v>270</v>
      </c>
      <c r="BT74" s="6" t="s">
        <v>254</v>
      </c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12"/>
      <c r="DD74" s="5"/>
      <c r="DE74" s="5"/>
      <c r="DF74" s="73" t="e">
        <f t="shared" si="38"/>
        <v>#REF!</v>
      </c>
      <c r="DG74" s="73">
        <v>100</v>
      </c>
      <c r="DH74" s="8" t="e">
        <f>#REF!</f>
        <v>#REF!</v>
      </c>
      <c r="DI74" s="5"/>
      <c r="DJ74" s="73" t="e">
        <f t="shared" si="39"/>
        <v>#REF!</v>
      </c>
      <c r="DK74" s="6" t="s">
        <v>124</v>
      </c>
      <c r="DL74" s="34" t="e">
        <f>#REF!</f>
        <v>#REF!</v>
      </c>
      <c r="DM74" s="8" t="e">
        <f>#REF!</f>
        <v>#REF!</v>
      </c>
      <c r="DN74" s="8" t="e">
        <f>#REF!</f>
        <v>#REF!</v>
      </c>
      <c r="DO74" s="8" t="e">
        <f>#REF!</f>
        <v>#REF!</v>
      </c>
      <c r="DP74" s="8">
        <f>DH$30</f>
        <v>0</v>
      </c>
      <c r="DQ74" s="19" t="s">
        <v>240</v>
      </c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U74" s="34"/>
      <c r="EV74" s="34"/>
      <c r="EW74" s="34"/>
      <c r="EX74" s="34"/>
      <c r="EY74" s="34"/>
      <c r="EZ74" s="34"/>
      <c r="FA74" s="34"/>
      <c r="FB74" s="34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5"/>
      <c r="FS74" s="5"/>
      <c r="FT74" s="5"/>
      <c r="FU74" s="5"/>
      <c r="FV74" s="34"/>
      <c r="FW74" s="34"/>
      <c r="FX74" s="34"/>
      <c r="FY74" s="34"/>
      <c r="FZ74" s="34"/>
      <c r="GA74" s="34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34"/>
      <c r="GN74" s="34"/>
      <c r="GO74" s="34"/>
      <c r="GP74" s="34"/>
      <c r="GQ74" s="34"/>
      <c r="GR74" s="34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8"/>
      <c r="BM75" s="8"/>
      <c r="BN75" s="8"/>
      <c r="BO75" s="8"/>
      <c r="BP75" s="11" t="s">
        <v>84</v>
      </c>
      <c r="BQ75" s="8"/>
      <c r="BR75" s="8"/>
      <c r="BS75" s="8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12"/>
      <c r="DD75" s="5"/>
      <c r="DE75" s="5"/>
      <c r="DF75" s="73" t="e">
        <f t="shared" si="38"/>
        <v>#REF!</v>
      </c>
      <c r="DG75" s="6" t="s">
        <v>124</v>
      </c>
      <c r="DH75" s="8" t="e">
        <f>#REF!</f>
        <v>#REF!</v>
      </c>
      <c r="DI75" s="5"/>
      <c r="DJ75" s="73" t="e">
        <f t="shared" si="39"/>
        <v>#REF!</v>
      </c>
      <c r="DK75" s="6" t="s">
        <v>124</v>
      </c>
      <c r="DL75" s="34" t="e">
        <f>#REF!</f>
        <v>#REF!</v>
      </c>
      <c r="DM75" s="8" t="e">
        <f>#REF!</f>
        <v>#REF!</v>
      </c>
      <c r="DN75" s="8" t="e">
        <f>#REF!</f>
        <v>#REF!</v>
      </c>
      <c r="DO75" s="8" t="e">
        <f>#REF!</f>
        <v>#REF!</v>
      </c>
      <c r="DP75" s="8" t="e">
        <f>#REF!</f>
        <v>#REF!</v>
      </c>
      <c r="DQ75" s="19" t="s">
        <v>217</v>
      </c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U75" s="34" t="s">
        <v>124</v>
      </c>
      <c r="EV75" s="34">
        <v>848</v>
      </c>
      <c r="EW75" s="34">
        <v>2826</v>
      </c>
      <c r="EX75" s="34">
        <v>3505</v>
      </c>
      <c r="EY75" s="34">
        <v>3406</v>
      </c>
      <c r="EZ75" s="34" t="s">
        <v>124</v>
      </c>
      <c r="FA75" s="34">
        <v>2323</v>
      </c>
      <c r="FB75" s="34">
        <f>SUM(EU75:FA75)</f>
        <v>12908</v>
      </c>
      <c r="FC75" s="11" t="s">
        <v>146</v>
      </c>
      <c r="FD75" s="8"/>
      <c r="FE75" s="11" t="s">
        <v>232</v>
      </c>
      <c r="FF75" s="8"/>
      <c r="FG75" s="8"/>
      <c r="FH75" s="8"/>
      <c r="FI75" s="8"/>
      <c r="FJ75" s="8">
        <f>FB75</f>
        <v>12908</v>
      </c>
      <c r="FK75" s="8">
        <f>FA75</f>
        <v>2323</v>
      </c>
      <c r="FL75" s="11" t="s">
        <v>124</v>
      </c>
      <c r="FM75" s="8">
        <f>EY75</f>
        <v>3406</v>
      </c>
      <c r="FN75" s="8">
        <f>EX75</f>
        <v>3505</v>
      </c>
      <c r="FO75" s="8">
        <f>EW75</f>
        <v>2826</v>
      </c>
      <c r="FP75" s="8">
        <f>EV75</f>
        <v>848</v>
      </c>
      <c r="FQ75" s="11" t="s">
        <v>124</v>
      </c>
      <c r="FR75" s="5"/>
      <c r="FS75" s="5"/>
      <c r="FT75" s="5"/>
      <c r="FU75" s="5"/>
      <c r="FV75" s="34" t="s">
        <v>124</v>
      </c>
      <c r="FW75" s="34" t="e">
        <f>DG$60</f>
        <v>#REF!</v>
      </c>
      <c r="FX75" s="34" t="e">
        <f>#REF!</f>
        <v>#REF!</v>
      </c>
      <c r="FY75" s="34">
        <f>FY77+FY78</f>
        <v>1134</v>
      </c>
      <c r="FZ75" s="34" t="e">
        <f>#REF!</f>
        <v>#REF!</v>
      </c>
      <c r="GA75" s="34" t="e">
        <f>#REF!</f>
        <v>#REF!</v>
      </c>
      <c r="GB75" s="11" t="s">
        <v>179</v>
      </c>
      <c r="GC75" s="8"/>
      <c r="GD75" s="8"/>
      <c r="GE75" s="8"/>
      <c r="GF75" s="8"/>
      <c r="GG75" s="8"/>
      <c r="GH75" s="11" t="s">
        <v>168</v>
      </c>
      <c r="GI75" s="8"/>
      <c r="GJ75" s="8"/>
      <c r="GK75" s="8"/>
      <c r="GL75" s="8"/>
      <c r="GM75" s="34" t="e">
        <f>GA75</f>
        <v>#REF!</v>
      </c>
      <c r="GN75" s="34" t="e">
        <f>FZ75</f>
        <v>#REF!</v>
      </c>
      <c r="GO75" s="34">
        <f>FY75</f>
        <v>1134</v>
      </c>
      <c r="GP75" s="34" t="e">
        <f>FX75</f>
        <v>#REF!</v>
      </c>
      <c r="GQ75" s="34" t="e">
        <f>FW75</f>
        <v>#REF!</v>
      </c>
      <c r="GR75" s="34" t="str">
        <f>FV75</f>
        <v>-</v>
      </c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11" t="s">
        <v>124</v>
      </c>
      <c r="BM76" s="8">
        <v>50</v>
      </c>
      <c r="BN76" s="8">
        <v>170</v>
      </c>
      <c r="BO76" s="8">
        <v>320</v>
      </c>
      <c r="BP76" s="8">
        <v>330</v>
      </c>
      <c r="BQ76" s="8">
        <v>60</v>
      </c>
      <c r="BR76" s="8">
        <v>230</v>
      </c>
      <c r="BS76" s="8">
        <f>SUM(BL76:BR76)</f>
        <v>1160</v>
      </c>
      <c r="BT76" s="11" t="s">
        <v>37</v>
      </c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12"/>
      <c r="DD76" s="5"/>
      <c r="DE76" s="5"/>
      <c r="DF76" s="73" t="e">
        <f t="shared" si="38"/>
        <v>#REF!</v>
      </c>
      <c r="DG76" s="73">
        <f>'[2]T308-317'!GG20-100</f>
        <v>1088</v>
      </c>
      <c r="DH76" s="8" t="e">
        <f>#REF!</f>
        <v>#REF!</v>
      </c>
      <c r="DI76" s="5"/>
      <c r="DJ76" s="73" t="e">
        <f t="shared" si="39"/>
        <v>#REF!</v>
      </c>
      <c r="DK76" s="73">
        <f>'[2]T308-317'!$GG$23</f>
        <v>1467</v>
      </c>
      <c r="DL76" s="34" t="e">
        <f>#REF!</f>
        <v>#REF!</v>
      </c>
      <c r="DM76" s="8" t="e">
        <f>#REF!</f>
        <v>#REF!</v>
      </c>
      <c r="DN76" s="8" t="e">
        <f>#REF!</f>
        <v>#REF!</v>
      </c>
      <c r="DO76" s="8" t="e">
        <f>#REF!</f>
        <v>#REF!</v>
      </c>
      <c r="DP76" s="8">
        <f>DH$36</f>
        <v>0</v>
      </c>
      <c r="DQ76" s="19" t="s">
        <v>216</v>
      </c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U76" s="34" t="s">
        <v>124</v>
      </c>
      <c r="EV76" s="34">
        <v>716</v>
      </c>
      <c r="EW76" s="34">
        <v>1521</v>
      </c>
      <c r="EX76" s="34">
        <v>1423</v>
      </c>
      <c r="EY76" s="34">
        <v>1039</v>
      </c>
      <c r="EZ76" s="34" t="s">
        <v>124</v>
      </c>
      <c r="FA76" s="34">
        <v>2436</v>
      </c>
      <c r="FB76" s="34">
        <f>SUM(EU76:FA76)</f>
        <v>7135</v>
      </c>
      <c r="FC76" s="11" t="s">
        <v>157</v>
      </c>
      <c r="FD76" s="8"/>
      <c r="FE76" s="11" t="s">
        <v>233</v>
      </c>
      <c r="FF76" s="8"/>
      <c r="FG76" s="8"/>
      <c r="FH76" s="8"/>
      <c r="FI76" s="8"/>
      <c r="FJ76" s="8">
        <f>FB76</f>
        <v>7135</v>
      </c>
      <c r="FK76" s="8">
        <f>FA76</f>
        <v>2436</v>
      </c>
      <c r="FL76" s="11" t="s">
        <v>124</v>
      </c>
      <c r="FM76" s="8">
        <f>EY76</f>
        <v>1039</v>
      </c>
      <c r="FN76" s="8">
        <f>EX76</f>
        <v>1423</v>
      </c>
      <c r="FO76" s="8">
        <f>EW76</f>
        <v>1521</v>
      </c>
      <c r="FP76" s="8">
        <f>EV76</f>
        <v>716</v>
      </c>
      <c r="FQ76" s="11" t="s">
        <v>124</v>
      </c>
      <c r="FR76" s="5"/>
      <c r="FS76" s="5"/>
      <c r="FT76" s="5"/>
      <c r="FU76" s="5"/>
      <c r="FV76" s="34"/>
      <c r="FW76" s="34"/>
      <c r="FX76" s="34"/>
      <c r="FY76" s="34"/>
      <c r="FZ76" s="34"/>
      <c r="GA76" s="34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34"/>
      <c r="GN76" s="34"/>
      <c r="GO76" s="34"/>
      <c r="GP76" s="34"/>
      <c r="GQ76" s="34"/>
      <c r="GR76" s="34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</row>
    <row r="77" spans="1:249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11" t="s">
        <v>124</v>
      </c>
      <c r="BM77" s="8">
        <v>90</v>
      </c>
      <c r="BN77" s="8">
        <v>190</v>
      </c>
      <c r="BO77" s="8">
        <v>560</v>
      </c>
      <c r="BP77" s="8">
        <v>380</v>
      </c>
      <c r="BQ77" s="8">
        <v>45</v>
      </c>
      <c r="BR77" s="8">
        <v>230</v>
      </c>
      <c r="BS77" s="8">
        <f>SUM(BL77:BR77)</f>
        <v>1495</v>
      </c>
      <c r="BT77" s="6" t="s">
        <v>36</v>
      </c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12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U77" s="34">
        <v>11</v>
      </c>
      <c r="EV77" s="34">
        <v>656</v>
      </c>
      <c r="EW77" s="34">
        <v>1042</v>
      </c>
      <c r="EX77" s="34">
        <v>2161</v>
      </c>
      <c r="EY77" s="34">
        <v>1353</v>
      </c>
      <c r="EZ77" s="34">
        <v>210</v>
      </c>
      <c r="FA77" s="34">
        <v>1510</v>
      </c>
      <c r="FB77" s="34">
        <f>SUM(EU77:FA77)</f>
        <v>6943</v>
      </c>
      <c r="FC77" s="11" t="s">
        <v>155</v>
      </c>
      <c r="FD77" s="8"/>
      <c r="FE77" s="11" t="s">
        <v>156</v>
      </c>
      <c r="FF77" s="8"/>
      <c r="FG77" s="8"/>
      <c r="FH77" s="8"/>
      <c r="FI77" s="8"/>
      <c r="FJ77" s="8">
        <f>FB77</f>
        <v>6943</v>
      </c>
      <c r="FK77" s="8">
        <f>FA77</f>
        <v>1510</v>
      </c>
      <c r="FL77" s="8">
        <f>EZ77</f>
        <v>210</v>
      </c>
      <c r="FM77" s="8">
        <f>EY77</f>
        <v>1353</v>
      </c>
      <c r="FN77" s="8">
        <f>EX77</f>
        <v>2161</v>
      </c>
      <c r="FO77" s="8">
        <f>EW77</f>
        <v>1042</v>
      </c>
      <c r="FP77" s="8">
        <f>EV77</f>
        <v>656</v>
      </c>
      <c r="FQ77" s="8">
        <f>EU77</f>
        <v>11</v>
      </c>
      <c r="FR77" s="5"/>
      <c r="FS77" s="5"/>
      <c r="FT77" s="5"/>
      <c r="FU77" s="5"/>
      <c r="FV77" s="34" t="e">
        <f>#REF!</f>
        <v>#REF!</v>
      </c>
      <c r="FW77" s="34">
        <f>DG$62</f>
        <v>191</v>
      </c>
      <c r="FX77" s="34" t="e">
        <f>#REF!</f>
        <v>#REF!</v>
      </c>
      <c r="FY77" s="34">
        <v>419</v>
      </c>
      <c r="FZ77" s="34" t="e">
        <f>#REF!</f>
        <v>#REF!</v>
      </c>
      <c r="GA77" s="34" t="e">
        <f>#REF!</f>
        <v>#REF!</v>
      </c>
      <c r="GB77" s="11" t="s">
        <v>209</v>
      </c>
      <c r="GC77" s="8"/>
      <c r="GD77" s="8"/>
      <c r="GE77" s="8"/>
      <c r="GF77" s="8"/>
      <c r="GG77" s="8"/>
      <c r="GH77" s="11" t="s">
        <v>241</v>
      </c>
      <c r="GI77" s="8"/>
      <c r="GJ77" s="8"/>
      <c r="GK77" s="8"/>
      <c r="GL77" s="8"/>
      <c r="GM77" s="34" t="e">
        <f>GA77</f>
        <v>#REF!</v>
      </c>
      <c r="GN77" s="34" t="e">
        <f>FZ77</f>
        <v>#REF!</v>
      </c>
      <c r="GO77" s="34">
        <f>FY77</f>
        <v>419</v>
      </c>
      <c r="GP77" s="34" t="e">
        <f>FX77</f>
        <v>#REF!</v>
      </c>
      <c r="GQ77" s="34">
        <f>FW77</f>
        <v>191</v>
      </c>
      <c r="GR77" s="34" t="e">
        <f>FV77</f>
        <v>#REF!</v>
      </c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</row>
    <row r="78" spans="1:249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8">
        <f t="shared" ref="BL78:BS78" si="43">BL77-BL76</f>
        <v>0</v>
      </c>
      <c r="BM78" s="8">
        <f t="shared" si="43"/>
        <v>40</v>
      </c>
      <c r="BN78" s="8">
        <f t="shared" si="43"/>
        <v>20</v>
      </c>
      <c r="BO78" s="8">
        <f t="shared" si="43"/>
        <v>240</v>
      </c>
      <c r="BP78" s="8">
        <f t="shared" si="43"/>
        <v>50</v>
      </c>
      <c r="BQ78" s="8">
        <f t="shared" si="43"/>
        <v>-15</v>
      </c>
      <c r="BR78" s="8">
        <f t="shared" si="43"/>
        <v>0</v>
      </c>
      <c r="BS78" s="8">
        <f t="shared" si="43"/>
        <v>335</v>
      </c>
      <c r="BT78" s="6" t="s">
        <v>254</v>
      </c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12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U78" s="34" t="s">
        <v>124</v>
      </c>
      <c r="EV78" s="34" t="s">
        <v>124</v>
      </c>
      <c r="EW78" s="34">
        <v>306</v>
      </c>
      <c r="EX78" s="34">
        <v>180</v>
      </c>
      <c r="EY78" s="34">
        <v>1680</v>
      </c>
      <c r="EZ78" s="34" t="s">
        <v>124</v>
      </c>
      <c r="FA78" s="34">
        <v>445</v>
      </c>
      <c r="FB78" s="34">
        <f>SUM(EU78:FA78)</f>
        <v>2611</v>
      </c>
      <c r="FC78" s="11" t="s">
        <v>153</v>
      </c>
      <c r="FD78" s="8"/>
      <c r="FE78" s="11" t="s">
        <v>154</v>
      </c>
      <c r="FF78" s="8"/>
      <c r="FG78" s="8"/>
      <c r="FH78" s="8"/>
      <c r="FI78" s="8"/>
      <c r="FJ78" s="8">
        <f>FB78</f>
        <v>2611</v>
      </c>
      <c r="FK78" s="8">
        <f>FA78</f>
        <v>445</v>
      </c>
      <c r="FL78" s="11" t="s">
        <v>124</v>
      </c>
      <c r="FM78" s="8">
        <f>EY78</f>
        <v>1680</v>
      </c>
      <c r="FN78" s="8">
        <f>EX78</f>
        <v>180</v>
      </c>
      <c r="FO78" s="8">
        <f>EW78</f>
        <v>306</v>
      </c>
      <c r="FP78" s="11" t="s">
        <v>124</v>
      </c>
      <c r="FQ78" s="11" t="s">
        <v>124</v>
      </c>
      <c r="FR78" s="5"/>
      <c r="FS78" s="5"/>
      <c r="FT78" s="5"/>
      <c r="FU78" s="5"/>
      <c r="FV78" s="34" t="e">
        <f>#REF!</f>
        <v>#REF!</v>
      </c>
      <c r="FW78" s="34" t="e">
        <f>#REF!</f>
        <v>#REF!</v>
      </c>
      <c r="FX78" s="34" t="e">
        <f>#REF!</f>
        <v>#REF!</v>
      </c>
      <c r="FY78" s="34">
        <v>715</v>
      </c>
      <c r="FZ78" s="34" t="e">
        <f>#REF!</f>
        <v>#REF!</v>
      </c>
      <c r="GA78" s="34">
        <f>DG$15</f>
        <v>0</v>
      </c>
      <c r="GB78" s="11" t="s">
        <v>189</v>
      </c>
      <c r="GC78" s="8"/>
      <c r="GD78" s="8"/>
      <c r="GE78" s="8"/>
      <c r="GF78" s="8"/>
      <c r="GG78" s="8"/>
      <c r="GH78" s="11" t="s">
        <v>192</v>
      </c>
      <c r="GI78" s="8"/>
      <c r="GJ78" s="8"/>
      <c r="GK78" s="8"/>
      <c r="GL78" s="8"/>
      <c r="GM78" s="34">
        <f>GA78</f>
        <v>0</v>
      </c>
      <c r="GN78" s="34" t="e">
        <f>FZ78</f>
        <v>#REF!</v>
      </c>
      <c r="GO78" s="34">
        <f>FY78</f>
        <v>715</v>
      </c>
      <c r="GP78" s="34" t="e">
        <f>FX78</f>
        <v>#REF!</v>
      </c>
      <c r="GQ78" s="34" t="e">
        <f>FW78</f>
        <v>#REF!</v>
      </c>
      <c r="GR78" s="34" t="e">
        <f>FV78</f>
        <v>#REF!</v>
      </c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</row>
    <row r="79" spans="1:249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8"/>
      <c r="BM79" s="8"/>
      <c r="BN79" s="8"/>
      <c r="BO79" s="8"/>
      <c r="BP79" s="8"/>
      <c r="BQ79" s="8"/>
      <c r="BR79" s="8"/>
      <c r="BS79" s="8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12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6" t="s">
        <v>37</v>
      </c>
      <c r="DO79" s="6" t="s">
        <v>263</v>
      </c>
      <c r="DP79" s="5"/>
      <c r="DQ79" s="5"/>
      <c r="DR79" s="5"/>
      <c r="DS79" s="5"/>
      <c r="DT79" s="5"/>
      <c r="DU79" s="5"/>
      <c r="DV79" s="5"/>
      <c r="DW79" s="6" t="s">
        <v>36</v>
      </c>
      <c r="DX79" s="5"/>
      <c r="DY79" s="5"/>
      <c r="DZ79" s="5"/>
      <c r="EA79" s="5"/>
      <c r="EB79" s="5"/>
      <c r="EC79" s="5"/>
      <c r="ED79" s="5"/>
      <c r="EE79" s="5"/>
      <c r="EF79" s="6" t="s">
        <v>35</v>
      </c>
      <c r="EG79" s="5"/>
      <c r="EH79" s="5"/>
      <c r="EI79" s="5"/>
      <c r="EJ79" s="5"/>
      <c r="EK79" s="5"/>
      <c r="EL79" s="5"/>
      <c r="EU79" s="34" t="s">
        <v>124</v>
      </c>
      <c r="EV79" s="34" t="s">
        <v>124</v>
      </c>
      <c r="EW79" s="34">
        <v>30</v>
      </c>
      <c r="EX79" s="34">
        <v>155</v>
      </c>
      <c r="EY79" s="34" t="s">
        <v>124</v>
      </c>
      <c r="EZ79" s="34" t="s">
        <v>124</v>
      </c>
      <c r="FA79" s="34">
        <v>168</v>
      </c>
      <c r="FB79" s="34">
        <f>SUM(EU79:FA79)</f>
        <v>353</v>
      </c>
      <c r="FC79" s="11" t="s">
        <v>151</v>
      </c>
      <c r="FD79" s="8"/>
      <c r="FE79" s="11" t="s">
        <v>234</v>
      </c>
      <c r="FF79" s="8"/>
      <c r="FG79" s="8"/>
      <c r="FH79" s="8"/>
      <c r="FI79" s="8"/>
      <c r="FJ79" s="8">
        <f>FB79</f>
        <v>353</v>
      </c>
      <c r="FK79" s="8">
        <f>FA79</f>
        <v>168</v>
      </c>
      <c r="FL79" s="11" t="s">
        <v>124</v>
      </c>
      <c r="FM79" s="11" t="s">
        <v>124</v>
      </c>
      <c r="FN79" s="8">
        <f>EX79</f>
        <v>155</v>
      </c>
      <c r="FO79" s="8">
        <f>EW79</f>
        <v>30</v>
      </c>
      <c r="FP79" s="11" t="s">
        <v>124</v>
      </c>
      <c r="FQ79" s="11" t="s">
        <v>124</v>
      </c>
      <c r="FR79" s="5"/>
      <c r="FS79" s="5"/>
      <c r="FT79" s="5"/>
      <c r="FU79" s="5"/>
      <c r="FV79" s="34"/>
      <c r="FW79" s="34"/>
      <c r="FX79" s="34"/>
      <c r="FY79" s="34"/>
      <c r="FZ79" s="34"/>
      <c r="GA79" s="34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34"/>
      <c r="GN79" s="34"/>
      <c r="GO79" s="34"/>
      <c r="GP79" s="34"/>
      <c r="GQ79" s="34"/>
      <c r="GR79" s="34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</row>
    <row r="80" spans="1:249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8"/>
      <c r="BM80" s="8"/>
      <c r="BN80" s="8"/>
      <c r="BO80" s="8"/>
      <c r="BP80" s="8"/>
      <c r="BQ80" s="8"/>
      <c r="BR80" s="8"/>
      <c r="BS80" s="8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6" t="s">
        <v>243</v>
      </c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12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U80" s="34"/>
      <c r="EV80" s="34"/>
      <c r="EW80" s="34"/>
      <c r="EX80" s="34"/>
      <c r="EY80" s="34"/>
      <c r="EZ80" s="34"/>
      <c r="FA80" s="34"/>
      <c r="FB80" s="34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5"/>
      <c r="FS80" s="5"/>
      <c r="FT80" s="5"/>
      <c r="FU80" s="5"/>
      <c r="FV80" s="34" t="e">
        <f>#REF!</f>
        <v>#REF!</v>
      </c>
      <c r="FW80" s="34" t="e">
        <f>#REF!</f>
        <v>#REF!</v>
      </c>
      <c r="FX80" s="34" t="e">
        <f>#REF!</f>
        <v>#REF!</v>
      </c>
      <c r="FY80" s="34">
        <f>FY82+FY83+FY84</f>
        <v>3099</v>
      </c>
      <c r="FZ80" s="34" t="e">
        <f>#REF!</f>
        <v>#REF!</v>
      </c>
      <c r="GA80" s="34">
        <f>DG$30</f>
        <v>0</v>
      </c>
      <c r="GB80" s="11" t="s">
        <v>207</v>
      </c>
      <c r="GC80" s="8"/>
      <c r="GD80" s="8"/>
      <c r="GE80" s="8"/>
      <c r="GF80" s="8"/>
      <c r="GG80" s="8"/>
      <c r="GH80" s="11" t="s">
        <v>180</v>
      </c>
      <c r="GI80" s="8"/>
      <c r="GJ80" s="8"/>
      <c r="GK80" s="8"/>
      <c r="GL80" s="8"/>
      <c r="GM80" s="34">
        <f>GA80</f>
        <v>0</v>
      </c>
      <c r="GN80" s="34" t="e">
        <f>FZ80</f>
        <v>#REF!</v>
      </c>
      <c r="GO80" s="34">
        <f>FY80</f>
        <v>3099</v>
      </c>
      <c r="GP80" s="34" t="e">
        <f>FX80</f>
        <v>#REF!</v>
      </c>
      <c r="GQ80" s="34" t="e">
        <f>FW80</f>
        <v>#REF!</v>
      </c>
      <c r="GR80" s="34" t="e">
        <f>FV80</f>
        <v>#REF!</v>
      </c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pans="1:249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8"/>
      <c r="BM81" s="8"/>
      <c r="BN81" s="8"/>
      <c r="BO81" s="8"/>
      <c r="BP81" s="8"/>
      <c r="BQ81" s="8"/>
      <c r="BR81" s="8"/>
      <c r="BS81" s="8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6" t="s">
        <v>245</v>
      </c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6" t="s">
        <v>246</v>
      </c>
      <c r="CW81" s="5"/>
      <c r="CX81" s="5"/>
      <c r="CY81" s="5"/>
      <c r="CZ81" s="5"/>
      <c r="DA81" s="5"/>
      <c r="DB81" s="5"/>
      <c r="DC81" s="12"/>
      <c r="DD81" s="5"/>
      <c r="DE81" s="5"/>
      <c r="DF81" s="5"/>
      <c r="DG81" s="5"/>
      <c r="DH81" s="6" t="s">
        <v>31</v>
      </c>
      <c r="DI81" s="6" t="s">
        <v>31</v>
      </c>
      <c r="DJ81" s="6" t="s">
        <v>258</v>
      </c>
      <c r="DK81" s="5"/>
      <c r="DL81" s="5"/>
      <c r="DM81" s="6" t="s">
        <v>31</v>
      </c>
      <c r="DN81" s="6" t="s">
        <v>31</v>
      </c>
      <c r="DO81" s="6" t="s">
        <v>31</v>
      </c>
      <c r="DP81" s="5"/>
      <c r="DQ81" s="5"/>
      <c r="DR81" s="5"/>
      <c r="DS81" s="6" t="s">
        <v>258</v>
      </c>
      <c r="DT81" s="5"/>
      <c r="DU81" s="5"/>
      <c r="DV81" s="6" t="s">
        <v>31</v>
      </c>
      <c r="DW81" s="6" t="s">
        <v>31</v>
      </c>
      <c r="DX81" s="6" t="s">
        <v>31</v>
      </c>
      <c r="DY81" s="5"/>
      <c r="DZ81" s="5"/>
      <c r="EA81" s="5"/>
      <c r="EB81" s="6" t="s">
        <v>258</v>
      </c>
      <c r="EC81" s="5"/>
      <c r="ED81" s="5"/>
      <c r="EE81" s="6" t="s">
        <v>31</v>
      </c>
      <c r="EF81" s="6" t="s">
        <v>31</v>
      </c>
      <c r="EG81" s="6" t="s">
        <v>31</v>
      </c>
      <c r="EH81" s="5"/>
      <c r="EI81" s="5"/>
      <c r="EJ81" s="5"/>
      <c r="EK81" s="5"/>
      <c r="EL81" s="5"/>
      <c r="EU81" s="34" t="s">
        <v>124</v>
      </c>
      <c r="EV81" s="34">
        <f t="shared" ref="EV81:FA81" si="44">EV83+EV84</f>
        <v>2568</v>
      </c>
      <c r="EW81" s="34">
        <f t="shared" si="44"/>
        <v>4515</v>
      </c>
      <c r="EX81" s="34">
        <f t="shared" si="44"/>
        <v>6845</v>
      </c>
      <c r="EY81" s="34">
        <f t="shared" si="44"/>
        <v>8093</v>
      </c>
      <c r="EZ81" s="34">
        <f t="shared" si="44"/>
        <v>356</v>
      </c>
      <c r="FA81" s="34">
        <f t="shared" si="44"/>
        <v>4965</v>
      </c>
      <c r="FB81" s="34">
        <f>SUM(EU81:FA81)</f>
        <v>27342</v>
      </c>
      <c r="FC81" s="11" t="s">
        <v>166</v>
      </c>
      <c r="FD81" s="8"/>
      <c r="FE81" s="11" t="s">
        <v>218</v>
      </c>
      <c r="FF81" s="8"/>
      <c r="FG81" s="8"/>
      <c r="FH81" s="8"/>
      <c r="FI81" s="8"/>
      <c r="FJ81" s="8">
        <f>FB81</f>
        <v>27342</v>
      </c>
      <c r="FK81" s="8">
        <f>FA81</f>
        <v>4965</v>
      </c>
      <c r="FL81" s="8">
        <f>EZ81</f>
        <v>356</v>
      </c>
      <c r="FM81" s="8">
        <f>EY81</f>
        <v>8093</v>
      </c>
      <c r="FN81" s="8">
        <f>EX81</f>
        <v>6845</v>
      </c>
      <c r="FO81" s="8">
        <f>EW81</f>
        <v>4515</v>
      </c>
      <c r="FP81" s="8">
        <f>EV81</f>
        <v>2568</v>
      </c>
      <c r="FQ81" s="11" t="s">
        <v>124</v>
      </c>
      <c r="FR81" s="5"/>
      <c r="FS81" s="5"/>
      <c r="FT81" s="5"/>
      <c r="FU81" s="5"/>
      <c r="FV81" s="34"/>
      <c r="FW81" s="34"/>
      <c r="FX81" s="34"/>
      <c r="FY81" s="34"/>
      <c r="FZ81" s="34"/>
      <c r="GA81" s="34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34"/>
      <c r="GN81" s="34"/>
      <c r="GO81" s="34"/>
      <c r="GP81" s="34"/>
      <c r="GQ81" s="34"/>
      <c r="GR81" s="34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pans="1:249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6" t="s">
        <v>36</v>
      </c>
      <c r="CL82" s="5"/>
      <c r="CM82" s="5"/>
      <c r="CN82" s="5"/>
      <c r="CO82" s="5"/>
      <c r="CP82" s="5"/>
      <c r="CQ82" s="5"/>
      <c r="CR82" s="6" t="s">
        <v>247</v>
      </c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12"/>
      <c r="DD82" s="5"/>
      <c r="DE82" s="5"/>
      <c r="DF82" s="5"/>
      <c r="DG82" s="5"/>
      <c r="DH82" s="6" t="s">
        <v>95</v>
      </c>
      <c r="DI82" s="6" t="s">
        <v>96</v>
      </c>
      <c r="DJ82" s="6" t="s">
        <v>72</v>
      </c>
      <c r="DK82" s="6" t="s">
        <v>259</v>
      </c>
      <c r="DL82" s="6" t="s">
        <v>84</v>
      </c>
      <c r="DM82" s="6" t="s">
        <v>95</v>
      </c>
      <c r="DN82" s="6" t="s">
        <v>96</v>
      </c>
      <c r="DO82" s="6" t="s">
        <v>30</v>
      </c>
      <c r="DP82" s="6" t="s">
        <v>72</v>
      </c>
      <c r="DQ82" s="5"/>
      <c r="DR82" s="5"/>
      <c r="DS82" s="6" t="s">
        <v>72</v>
      </c>
      <c r="DT82" s="6" t="s">
        <v>259</v>
      </c>
      <c r="DU82" s="6" t="s">
        <v>84</v>
      </c>
      <c r="DV82" s="6" t="s">
        <v>95</v>
      </c>
      <c r="DW82" s="6" t="s">
        <v>96</v>
      </c>
      <c r="DX82" s="6" t="s">
        <v>30</v>
      </c>
      <c r="DY82" s="6" t="s">
        <v>72</v>
      </c>
      <c r="DZ82" s="5"/>
      <c r="EA82" s="5"/>
      <c r="EB82" s="6" t="s">
        <v>72</v>
      </c>
      <c r="EC82" s="6" t="s">
        <v>259</v>
      </c>
      <c r="ED82" s="6" t="s">
        <v>84</v>
      </c>
      <c r="EE82" s="6" t="s">
        <v>95</v>
      </c>
      <c r="EF82" s="6" t="s">
        <v>96</v>
      </c>
      <c r="EG82" s="6" t="s">
        <v>30</v>
      </c>
      <c r="EH82" s="6" t="s">
        <v>72</v>
      </c>
      <c r="EI82" s="5"/>
      <c r="EJ82" s="5"/>
      <c r="EK82" s="5"/>
      <c r="EL82" s="5"/>
      <c r="EU82" s="34"/>
      <c r="EV82" s="34"/>
      <c r="EW82" s="34"/>
      <c r="EX82" s="34"/>
      <c r="EY82" s="34"/>
      <c r="EZ82" s="34"/>
      <c r="FA82" s="34"/>
      <c r="FB82" s="34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5"/>
      <c r="FS82" s="5"/>
      <c r="FT82" s="5"/>
      <c r="FU82" s="5"/>
      <c r="FV82" s="34" t="e">
        <f>#REF!</f>
        <v>#REF!</v>
      </c>
      <c r="FW82" s="34" t="e">
        <f>#REF!</f>
        <v>#REF!</v>
      </c>
      <c r="FX82" s="34" t="e">
        <f>#REF!</f>
        <v>#REF!</v>
      </c>
      <c r="FY82" s="34">
        <v>1766</v>
      </c>
      <c r="FZ82" s="34" t="e">
        <f>#REF!</f>
        <v>#REF!</v>
      </c>
      <c r="GA82" s="34" t="e">
        <f>#REF!</f>
        <v>#REF!</v>
      </c>
      <c r="GB82" s="11" t="s">
        <v>210</v>
      </c>
      <c r="GC82" s="8"/>
      <c r="GD82" s="8"/>
      <c r="GE82" s="8"/>
      <c r="GF82" s="8"/>
      <c r="GG82" s="8"/>
      <c r="GH82" s="11" t="s">
        <v>212</v>
      </c>
      <c r="GI82" s="8"/>
      <c r="GJ82" s="8"/>
      <c r="GK82" s="8"/>
      <c r="GL82" s="8"/>
      <c r="GM82" s="34" t="e">
        <f>GA82</f>
        <v>#REF!</v>
      </c>
      <c r="GN82" s="34" t="e">
        <f>FZ82</f>
        <v>#REF!</v>
      </c>
      <c r="GO82" s="34">
        <f>FY82</f>
        <v>1766</v>
      </c>
      <c r="GP82" s="34" t="e">
        <f>FX82</f>
        <v>#REF!</v>
      </c>
      <c r="GQ82" s="34" t="e">
        <f>FW82</f>
        <v>#REF!</v>
      </c>
      <c r="GR82" s="34" t="e">
        <f>FV82</f>
        <v>#REF!</v>
      </c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pans="1:249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6" t="s">
        <v>115</v>
      </c>
      <c r="CW83" s="5"/>
      <c r="CX83" s="5"/>
      <c r="CY83" s="5"/>
      <c r="CZ83" s="5"/>
      <c r="DA83" s="5"/>
      <c r="DB83" s="5"/>
      <c r="DC83" s="12"/>
      <c r="DD83" s="5"/>
      <c r="DE83" s="5"/>
      <c r="DF83" s="5"/>
      <c r="DG83" s="5"/>
      <c r="DH83" s="73" t="e">
        <f>SUM(DH84:DH90)</f>
        <v>#REF!</v>
      </c>
      <c r="DI83" s="73" t="e">
        <f>SUM(DI84:DI90)</f>
        <v>#REF!</v>
      </c>
      <c r="DJ83" s="73" t="e">
        <f>SUM(DJ84:DJ90)</f>
        <v>#REF!</v>
      </c>
      <c r="DK83" s="73">
        <f>'[2]T308-317'!$GH$24</f>
        <v>4561</v>
      </c>
      <c r="DL83" s="8" t="e">
        <f>#REF!</f>
        <v>#REF!</v>
      </c>
      <c r="DM83" s="8" t="e">
        <f>#REF!</f>
        <v>#REF!</v>
      </c>
      <c r="DN83" s="8" t="e">
        <f>#REF!</f>
        <v>#REF!</v>
      </c>
      <c r="DO83" s="8" t="e">
        <f>#REF!</f>
        <v>#REF!</v>
      </c>
      <c r="DP83" s="8" t="e">
        <f>$DG$9</f>
        <v>#REF!</v>
      </c>
      <c r="DQ83" s="6" t="s">
        <v>72</v>
      </c>
      <c r="DR83" s="5"/>
      <c r="DS83" s="71" t="e">
        <f>SUM(DS84:DS90)</f>
        <v>#REF!</v>
      </c>
      <c r="DT83" s="73">
        <f>'[2]T308-317'!$GH$25</f>
        <v>4777</v>
      </c>
      <c r="DU83" s="8" t="e">
        <f>#REF!</f>
        <v>#REF!</v>
      </c>
      <c r="DV83" s="8" t="e">
        <f>#REF!</f>
        <v>#REF!</v>
      </c>
      <c r="DW83" s="8" t="e">
        <f>#REF!</f>
        <v>#REF!</v>
      </c>
      <c r="DX83" s="8" t="e">
        <f>#REF!</f>
        <v>#REF!</v>
      </c>
      <c r="DY83" s="8" t="e">
        <f>$DF$9</f>
        <v>#REF!</v>
      </c>
      <c r="DZ83" s="6" t="s">
        <v>72</v>
      </c>
      <c r="EA83" s="5"/>
      <c r="EB83" s="71" t="e">
        <f>SUM(EB84:EB90)</f>
        <v>#REF!</v>
      </c>
      <c r="EC83" s="73">
        <f>'[2]T308-317'!$GH$26</f>
        <v>7079</v>
      </c>
      <c r="ED83" s="8" t="e">
        <f>#REF!</f>
        <v>#REF!</v>
      </c>
      <c r="EE83" s="8" t="e">
        <f>#REF!</f>
        <v>#REF!</v>
      </c>
      <c r="EF83" s="8" t="e">
        <f>#REF!</f>
        <v>#REF!</v>
      </c>
      <c r="EG83" s="8" t="e">
        <f>#REF!</f>
        <v>#REF!</v>
      </c>
      <c r="EH83" s="8" t="e">
        <f>$DE$9</f>
        <v>#REF!</v>
      </c>
      <c r="EI83" s="6" t="s">
        <v>72</v>
      </c>
      <c r="EJ83" s="5"/>
      <c r="EK83" s="5"/>
      <c r="EL83" s="5"/>
      <c r="EU83" s="34" t="s">
        <v>124</v>
      </c>
      <c r="EV83" s="34">
        <v>2460</v>
      </c>
      <c r="EW83" s="34">
        <v>4515</v>
      </c>
      <c r="EX83" s="34">
        <v>5719</v>
      </c>
      <c r="EY83" s="34">
        <v>4350</v>
      </c>
      <c r="EZ83" s="34">
        <v>266</v>
      </c>
      <c r="FA83" s="34">
        <v>3868</v>
      </c>
      <c r="FB83" s="34">
        <f>SUM(EU83:FA83)</f>
        <v>21178</v>
      </c>
      <c r="FC83" s="11" t="s">
        <v>164</v>
      </c>
      <c r="FD83" s="8"/>
      <c r="FE83" s="11" t="s">
        <v>165</v>
      </c>
      <c r="FF83" s="8"/>
      <c r="FG83" s="8"/>
      <c r="FH83" s="8"/>
      <c r="FI83" s="8"/>
      <c r="FJ83" s="8">
        <f>FB83</f>
        <v>21178</v>
      </c>
      <c r="FK83" s="8">
        <f>FA83</f>
        <v>3868</v>
      </c>
      <c r="FL83" s="8">
        <f>EZ83</f>
        <v>266</v>
      </c>
      <c r="FM83" s="8">
        <f>EY83</f>
        <v>4350</v>
      </c>
      <c r="FN83" s="8">
        <f>EX83</f>
        <v>5719</v>
      </c>
      <c r="FO83" s="8">
        <f>EW83</f>
        <v>4515</v>
      </c>
      <c r="FP83" s="8">
        <f>EV83</f>
        <v>2460</v>
      </c>
      <c r="FQ83" s="11" t="s">
        <v>124</v>
      </c>
      <c r="FR83" s="5"/>
      <c r="FS83" s="5"/>
      <c r="FT83" s="5"/>
      <c r="FU83" s="5"/>
      <c r="FV83" s="34" t="e">
        <f>#REF!</f>
        <v>#REF!</v>
      </c>
      <c r="FW83" s="34" t="e">
        <f>#REF!</f>
        <v>#REF!</v>
      </c>
      <c r="FX83" s="34" t="e">
        <f>#REF!</f>
        <v>#REF!</v>
      </c>
      <c r="FY83" s="34">
        <v>611</v>
      </c>
      <c r="FZ83" s="34" t="e">
        <f>#REF!</f>
        <v>#REF!</v>
      </c>
      <c r="GA83" s="34" t="e">
        <f>#REF!</f>
        <v>#REF!</v>
      </c>
      <c r="GB83" s="11" t="s">
        <v>211</v>
      </c>
      <c r="GC83" s="8"/>
      <c r="GD83" s="8"/>
      <c r="GE83" s="8"/>
      <c r="GF83" s="8"/>
      <c r="GG83" s="8"/>
      <c r="GH83" s="11" t="s">
        <v>214</v>
      </c>
      <c r="GI83" s="8"/>
      <c r="GJ83" s="8"/>
      <c r="GK83" s="8"/>
      <c r="GL83" s="8"/>
      <c r="GM83" s="34" t="e">
        <f>GA83</f>
        <v>#REF!</v>
      </c>
      <c r="GN83" s="34" t="e">
        <f>FZ83</f>
        <v>#REF!</v>
      </c>
      <c r="GO83" s="34">
        <f>FY83</f>
        <v>611</v>
      </c>
      <c r="GP83" s="34" t="e">
        <f>FX83</f>
        <v>#REF!</v>
      </c>
      <c r="GQ83" s="34" t="e">
        <f>FW83</f>
        <v>#REF!</v>
      </c>
      <c r="GR83" s="34" t="e">
        <f>FV83</f>
        <v>#REF!</v>
      </c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6" t="s">
        <v>15</v>
      </c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6" t="s">
        <v>16</v>
      </c>
      <c r="CW84" s="5"/>
      <c r="CX84" s="5"/>
      <c r="CY84" s="5"/>
      <c r="CZ84" s="5"/>
      <c r="DA84" s="5"/>
      <c r="DB84" s="5"/>
      <c r="DC84" s="12"/>
      <c r="DD84" s="5"/>
      <c r="DE84" s="5"/>
      <c r="DF84" s="5"/>
      <c r="DG84" s="5"/>
      <c r="DH84" s="73" t="e">
        <f t="shared" ref="DH84:DI90" si="45">DM84/DM$83*100</f>
        <v>#REF!</v>
      </c>
      <c r="DI84" s="73" t="e">
        <f t="shared" si="45"/>
        <v>#REF!</v>
      </c>
      <c r="DJ84" s="73" t="e">
        <f t="shared" ref="DJ84:DJ90" si="46">(DK84+DO84)/($DK$83+$DO$83)*100</f>
        <v>#REF!</v>
      </c>
      <c r="DK84" s="73">
        <f>SUM('[2]T308-317'!$GD$24:$GE$24)</f>
        <v>1020</v>
      </c>
      <c r="DL84" s="8" t="e">
        <f>#REF!</f>
        <v>#REF!</v>
      </c>
      <c r="DM84" s="8" t="e">
        <f>#REF!</f>
        <v>#REF!</v>
      </c>
      <c r="DN84" s="8" t="e">
        <f>#REF!</f>
        <v>#REF!</v>
      </c>
      <c r="DO84" s="8" t="e">
        <f>#REF!</f>
        <v>#REF!</v>
      </c>
      <c r="DP84" s="8">
        <f>$DG$11</f>
        <v>0</v>
      </c>
      <c r="DQ84" s="19" t="s">
        <v>260</v>
      </c>
      <c r="DR84" s="5"/>
      <c r="DS84" s="71" t="e">
        <f t="shared" ref="DS84:DS90" si="47">(DT84+DX84)/($DT$83+$DX$83)*100</f>
        <v>#REF!</v>
      </c>
      <c r="DT84" s="73">
        <f>SUM('[2]T308-317'!$GD$25:$GE$25)</f>
        <v>948</v>
      </c>
      <c r="DU84" s="8" t="e">
        <f>#REF!</f>
        <v>#REF!</v>
      </c>
      <c r="DV84" s="8" t="e">
        <f>#REF!</f>
        <v>#REF!</v>
      </c>
      <c r="DW84" s="8" t="e">
        <f>#REF!</f>
        <v>#REF!</v>
      </c>
      <c r="DX84" s="8" t="e">
        <f>#REF!</f>
        <v>#REF!</v>
      </c>
      <c r="DY84" s="8">
        <f>$DF$11</f>
        <v>0</v>
      </c>
      <c r="DZ84" s="19" t="s">
        <v>260</v>
      </c>
      <c r="EA84" s="73">
        <f>I23/EC83</f>
        <v>2.5530442152846446</v>
      </c>
      <c r="EB84" s="71" t="e">
        <f t="shared" ref="EB84:EB90" si="48">(EC84+EG84)/(EC$83+EG$83)*100</f>
        <v>#REF!</v>
      </c>
      <c r="EC84" s="73">
        <f>SUM('[2]T308-317'!$GD$26:$GE$26)</f>
        <v>973</v>
      </c>
      <c r="ED84" s="8" t="e">
        <f>#REF!</f>
        <v>#REF!</v>
      </c>
      <c r="EE84" s="8" t="e">
        <f>#REF!</f>
        <v>#REF!</v>
      </c>
      <c r="EF84" s="8" t="e">
        <f>#REF!</f>
        <v>#REF!</v>
      </c>
      <c r="EG84" s="8" t="e">
        <f>#REF!</f>
        <v>#REF!</v>
      </c>
      <c r="EH84" s="8">
        <f>$DE$11</f>
        <v>0</v>
      </c>
      <c r="EI84" s="19" t="s">
        <v>260</v>
      </c>
      <c r="EJ84" s="5"/>
      <c r="EK84" s="5"/>
      <c r="EL84" s="5"/>
      <c r="EU84" s="34" t="s">
        <v>124</v>
      </c>
      <c r="EV84" s="34">
        <v>108</v>
      </c>
      <c r="EW84" s="34" t="s">
        <v>124</v>
      </c>
      <c r="EX84" s="34">
        <v>1126</v>
      </c>
      <c r="EY84" s="34">
        <v>3743</v>
      </c>
      <c r="EZ84" s="34">
        <v>90</v>
      </c>
      <c r="FA84" s="34">
        <v>1097</v>
      </c>
      <c r="FB84" s="34">
        <f>SUM(EU84:FA84)</f>
        <v>6164</v>
      </c>
      <c r="FC84" s="11" t="s">
        <v>162</v>
      </c>
      <c r="FD84" s="8"/>
      <c r="FE84" s="11" t="s">
        <v>169</v>
      </c>
      <c r="FF84" s="8"/>
      <c r="FG84" s="8"/>
      <c r="FH84" s="8"/>
      <c r="FI84" s="8"/>
      <c r="FJ84" s="8">
        <f>FB84</f>
        <v>6164</v>
      </c>
      <c r="FK84" s="8">
        <f>FA84</f>
        <v>1097</v>
      </c>
      <c r="FL84" s="8">
        <f>EZ84</f>
        <v>90</v>
      </c>
      <c r="FM84" s="8">
        <f>EY84</f>
        <v>3743</v>
      </c>
      <c r="FN84" s="8">
        <f>EX84</f>
        <v>1126</v>
      </c>
      <c r="FO84" s="11" t="s">
        <v>124</v>
      </c>
      <c r="FP84" s="11" t="s">
        <v>124</v>
      </c>
      <c r="FQ84" s="11" t="s">
        <v>124</v>
      </c>
      <c r="FR84" s="5"/>
      <c r="FS84" s="5"/>
      <c r="FT84" s="5"/>
      <c r="FU84" s="5"/>
      <c r="FV84" s="34" t="e">
        <f>#REF!</f>
        <v>#REF!</v>
      </c>
      <c r="FW84" s="34" t="e">
        <f>#REF!</f>
        <v>#REF!</v>
      </c>
      <c r="FX84" s="34" t="e">
        <f>#REF!</f>
        <v>#REF!</v>
      </c>
      <c r="FY84" s="34">
        <v>722</v>
      </c>
      <c r="FZ84" s="34" t="e">
        <f>#REF!</f>
        <v>#REF!</v>
      </c>
      <c r="GA84" s="34" t="e">
        <f>#REF!</f>
        <v>#REF!</v>
      </c>
      <c r="GB84" s="11" t="s">
        <v>213</v>
      </c>
      <c r="GC84" s="8"/>
      <c r="GD84" s="8"/>
      <c r="GE84" s="8"/>
      <c r="GF84" s="8"/>
      <c r="GG84" s="8"/>
      <c r="GH84" s="11" t="s">
        <v>215</v>
      </c>
      <c r="GI84" s="8"/>
      <c r="GJ84" s="8"/>
      <c r="GK84" s="8"/>
      <c r="GL84" s="8"/>
      <c r="GM84" s="34" t="e">
        <f>GA84</f>
        <v>#REF!</v>
      </c>
      <c r="GN84" s="34" t="e">
        <f>FZ84</f>
        <v>#REF!</v>
      </c>
      <c r="GO84" s="34">
        <f>FY84</f>
        <v>722</v>
      </c>
      <c r="GP84" s="34" t="e">
        <f>FX84</f>
        <v>#REF!</v>
      </c>
      <c r="GQ84" s="34" t="e">
        <f>FW84</f>
        <v>#REF!</v>
      </c>
      <c r="GR84" s="34" t="e">
        <f>FV84</f>
        <v>#REF!</v>
      </c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pans="1:249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6" t="s">
        <v>30</v>
      </c>
      <c r="CL85" s="6" t="s">
        <v>31</v>
      </c>
      <c r="CM85" s="5"/>
      <c r="CN85" s="5"/>
      <c r="CO85" s="5"/>
      <c r="CP85" s="5"/>
      <c r="CQ85" s="5"/>
      <c r="CR85" s="5"/>
      <c r="CS85" s="5"/>
      <c r="CT85" s="5"/>
      <c r="CU85" s="17"/>
      <c r="CV85" s="13" t="s">
        <v>22</v>
      </c>
      <c r="CW85" s="17"/>
      <c r="CX85" s="17"/>
      <c r="CY85" s="17"/>
      <c r="CZ85" s="17"/>
      <c r="DA85" s="5"/>
      <c r="DB85" s="5"/>
      <c r="DC85" s="12"/>
      <c r="DD85" s="5"/>
      <c r="DE85" s="5"/>
      <c r="DF85" s="5"/>
      <c r="DG85" s="5"/>
      <c r="DH85" s="73" t="e">
        <f t="shared" si="45"/>
        <v>#REF!</v>
      </c>
      <c r="DI85" s="73" t="e">
        <f t="shared" si="45"/>
        <v>#REF!</v>
      </c>
      <c r="DJ85" s="73" t="e">
        <f t="shared" si="46"/>
        <v>#REF!</v>
      </c>
      <c r="DK85" s="73">
        <f>'[2]T308-317'!$GF$24</f>
        <v>8925</v>
      </c>
      <c r="DL85" s="8" t="e">
        <f>#REF!</f>
        <v>#REF!</v>
      </c>
      <c r="DM85" s="8">
        <f>$DG$52</f>
        <v>548</v>
      </c>
      <c r="DN85" s="8" t="e">
        <f>#REF!</f>
        <v>#REF!</v>
      </c>
      <c r="DO85" s="8" t="e">
        <f>#REF!</f>
        <v>#REF!</v>
      </c>
      <c r="DP85" s="8" t="e">
        <f>#REF!</f>
        <v>#REF!</v>
      </c>
      <c r="DQ85" s="19" t="s">
        <v>261</v>
      </c>
      <c r="DR85" s="5"/>
      <c r="DS85" s="71" t="e">
        <f t="shared" si="47"/>
        <v>#REF!</v>
      </c>
      <c r="DT85" s="73">
        <f>'[2]T308-317'!$GF$25</f>
        <v>10892</v>
      </c>
      <c r="DU85" s="8" t="e">
        <f>#REF!</f>
        <v>#REF!</v>
      </c>
      <c r="DV85" s="8">
        <f>$DF$52</f>
        <v>581</v>
      </c>
      <c r="DW85" s="8" t="e">
        <f>#REF!</f>
        <v>#REF!</v>
      </c>
      <c r="DX85" s="8" t="e">
        <f>#REF!</f>
        <v>#REF!</v>
      </c>
      <c r="DY85" s="8" t="e">
        <f>#REF!</f>
        <v>#REF!</v>
      </c>
      <c r="DZ85" s="19" t="s">
        <v>261</v>
      </c>
      <c r="EA85" s="5"/>
      <c r="EB85" s="71" t="e">
        <f t="shared" si="48"/>
        <v>#REF!</v>
      </c>
      <c r="EC85" s="73">
        <f>'[2]T308-317'!$GF$26</f>
        <v>11435</v>
      </c>
      <c r="ED85" s="8" t="e">
        <f>#REF!</f>
        <v>#REF!</v>
      </c>
      <c r="EE85" s="8">
        <f>$DE$52</f>
        <v>607</v>
      </c>
      <c r="EF85" s="8" t="e">
        <f>#REF!</f>
        <v>#REF!</v>
      </c>
      <c r="EG85" s="8" t="e">
        <f>#REF!</f>
        <v>#REF!</v>
      </c>
      <c r="EH85" s="8" t="e">
        <f>#REF!</f>
        <v>#REF!</v>
      </c>
      <c r="EI85" s="19" t="s">
        <v>261</v>
      </c>
      <c r="EJ85" s="5"/>
      <c r="EK85" s="5"/>
      <c r="EL85" s="5"/>
      <c r="EU85" s="34"/>
      <c r="EV85" s="34"/>
      <c r="EW85" s="34"/>
      <c r="EX85" s="34"/>
      <c r="EY85" s="34"/>
      <c r="EZ85" s="34"/>
      <c r="FA85" s="34"/>
      <c r="FB85" s="34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5"/>
      <c r="FS85" s="5"/>
      <c r="FT85" s="5"/>
      <c r="FU85" s="5"/>
      <c r="FV85" s="34"/>
      <c r="FW85" s="34"/>
      <c r="FX85" s="34"/>
      <c r="FY85" s="34"/>
      <c r="FZ85" s="34"/>
      <c r="GA85" s="34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34"/>
      <c r="GN85" s="34"/>
      <c r="GO85" s="34"/>
      <c r="GP85" s="34"/>
      <c r="GQ85" s="34"/>
      <c r="GR85" s="34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</row>
    <row r="86" spans="1:249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17"/>
      <c r="CV86" s="17"/>
      <c r="CW86" s="17"/>
      <c r="CX86" s="17"/>
      <c r="CY86" s="17"/>
      <c r="CZ86" s="17"/>
      <c r="DA86" s="5"/>
      <c r="DB86" s="5"/>
      <c r="DC86" s="12"/>
      <c r="DD86" s="5"/>
      <c r="DE86" s="5"/>
      <c r="DF86" s="5"/>
      <c r="DG86" s="5"/>
      <c r="DH86" s="73" t="e">
        <f t="shared" si="45"/>
        <v>#REF!</v>
      </c>
      <c r="DI86" s="73" t="e">
        <f t="shared" si="45"/>
        <v>#REF!</v>
      </c>
      <c r="DJ86" s="73" t="e">
        <f t="shared" si="46"/>
        <v>#REF!</v>
      </c>
      <c r="DK86" s="73">
        <f>'[2]T308-317'!$GC$24</f>
        <v>27.266730191306898</v>
      </c>
      <c r="DL86" s="34" t="e">
        <f>#REF!</f>
        <v>#REF!</v>
      </c>
      <c r="DM86" s="8">
        <f>$DG$58</f>
        <v>51</v>
      </c>
      <c r="DN86" s="8" t="e">
        <f>#REF!</f>
        <v>#REF!</v>
      </c>
      <c r="DO86" s="8" t="e">
        <f>#REF!</f>
        <v>#REF!</v>
      </c>
      <c r="DP86" s="8">
        <f>$DG$14</f>
        <v>0</v>
      </c>
      <c r="DQ86" s="19" t="s">
        <v>172</v>
      </c>
      <c r="DR86" s="5"/>
      <c r="DS86" s="71" t="e">
        <f t="shared" si="47"/>
        <v>#REF!</v>
      </c>
      <c r="DT86" s="73">
        <f>'[2]T308-317'!$GC$25</f>
        <v>0</v>
      </c>
      <c r="DU86" s="34" t="e">
        <f>#REF!</f>
        <v>#REF!</v>
      </c>
      <c r="DV86" s="8">
        <f>$DF$58</f>
        <v>61</v>
      </c>
      <c r="DW86" s="8" t="e">
        <f>#REF!</f>
        <v>#REF!</v>
      </c>
      <c r="DX86" s="8" t="e">
        <f>#REF!</f>
        <v>#REF!</v>
      </c>
      <c r="DY86" s="8">
        <f>$DF$14</f>
        <v>0</v>
      </c>
      <c r="DZ86" s="19" t="s">
        <v>172</v>
      </c>
      <c r="EA86" s="5"/>
      <c r="EB86" s="71" t="e">
        <f t="shared" si="48"/>
        <v>#REF!</v>
      </c>
      <c r="EC86" s="73">
        <f>'[2]T308-317'!$GC$26</f>
        <v>0</v>
      </c>
      <c r="ED86" s="34" t="e">
        <f>#REF!</f>
        <v>#REF!</v>
      </c>
      <c r="EE86" s="8">
        <f>$DE$58</f>
        <v>53</v>
      </c>
      <c r="EF86" s="8" t="e">
        <f>#REF!</f>
        <v>#REF!</v>
      </c>
      <c r="EG86" s="8" t="e">
        <f>#REF!</f>
        <v>#REF!</v>
      </c>
      <c r="EH86" s="8">
        <f>$DE$14</f>
        <v>0</v>
      </c>
      <c r="EI86" s="19" t="s">
        <v>172</v>
      </c>
      <c r="EJ86" s="5"/>
      <c r="EK86" s="5"/>
      <c r="EL86" s="5"/>
      <c r="EU86" s="34" t="s">
        <v>124</v>
      </c>
      <c r="EV86" s="34" t="s">
        <v>124</v>
      </c>
      <c r="EW86" s="34">
        <v>464</v>
      </c>
      <c r="EX86" s="34">
        <v>842</v>
      </c>
      <c r="EY86" s="34">
        <v>2010</v>
      </c>
      <c r="EZ86" s="34" t="s">
        <v>124</v>
      </c>
      <c r="FA86" s="34">
        <v>1255</v>
      </c>
      <c r="FB86" s="34">
        <f>SUM(EU86:FA86)</f>
        <v>4571</v>
      </c>
      <c r="FC86" s="11" t="s">
        <v>172</v>
      </c>
      <c r="FD86" s="8"/>
      <c r="FE86" s="11" t="s">
        <v>163</v>
      </c>
      <c r="FF86" s="8"/>
      <c r="FG86" s="8"/>
      <c r="FH86" s="8"/>
      <c r="FI86" s="8"/>
      <c r="FJ86" s="8">
        <f>FB86</f>
        <v>4571</v>
      </c>
      <c r="FK86" s="8">
        <f>FA86</f>
        <v>1255</v>
      </c>
      <c r="FL86" s="11" t="s">
        <v>124</v>
      </c>
      <c r="FM86" s="8">
        <f>EY86</f>
        <v>2010</v>
      </c>
      <c r="FN86" s="8">
        <f>EX86</f>
        <v>842</v>
      </c>
      <c r="FO86" s="8">
        <f>EW86</f>
        <v>464</v>
      </c>
      <c r="FP86" s="11" t="s">
        <v>124</v>
      </c>
      <c r="FQ86" s="11" t="s">
        <v>124</v>
      </c>
      <c r="FR86" s="5"/>
      <c r="FS86" s="5"/>
      <c r="FT86" s="5"/>
      <c r="FU86" s="5"/>
      <c r="FV86" s="34" t="e">
        <f>#REF!</f>
        <v>#REF!</v>
      </c>
      <c r="FW86" s="34" t="e">
        <f>#REF!</f>
        <v>#REF!</v>
      </c>
      <c r="FX86" s="34" t="e">
        <f>#REF!</f>
        <v>#REF!</v>
      </c>
      <c r="FY86" s="34">
        <v>272</v>
      </c>
      <c r="FZ86" s="34" t="e">
        <f>#REF!</f>
        <v>#REF!</v>
      </c>
      <c r="GA86" s="34" t="e">
        <f>#REF!</f>
        <v>#REF!</v>
      </c>
      <c r="GB86" s="11" t="s">
        <v>217</v>
      </c>
      <c r="GC86" s="8"/>
      <c r="GD86" s="8"/>
      <c r="GE86" s="8"/>
      <c r="GF86" s="8"/>
      <c r="GG86" s="8"/>
      <c r="GH86" s="11" t="s">
        <v>181</v>
      </c>
      <c r="GI86" s="8"/>
      <c r="GJ86" s="8"/>
      <c r="GK86" s="8"/>
      <c r="GL86" s="8"/>
      <c r="GM86" s="34" t="e">
        <f>GA86</f>
        <v>#REF!</v>
      </c>
      <c r="GN86" s="34" t="e">
        <f>FZ86</f>
        <v>#REF!</v>
      </c>
      <c r="GO86" s="34">
        <f>FY86</f>
        <v>272</v>
      </c>
      <c r="GP86" s="34" t="e">
        <f>FX86</f>
        <v>#REF!</v>
      </c>
      <c r="GQ86" s="34" t="e">
        <f>FW86</f>
        <v>#REF!</v>
      </c>
      <c r="GR86" s="34" t="e">
        <f>FV86</f>
        <v>#REF!</v>
      </c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</row>
    <row r="87" spans="1:249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6" t="s">
        <v>31</v>
      </c>
      <c r="CJ87" s="6" t="s">
        <v>31</v>
      </c>
      <c r="CK87" s="6" t="s">
        <v>32</v>
      </c>
      <c r="CL87" s="5"/>
      <c r="CM87" s="5"/>
      <c r="CN87" s="5"/>
      <c r="CO87" s="5"/>
      <c r="CP87" s="5"/>
      <c r="CQ87" s="5"/>
      <c r="CR87" s="5"/>
      <c r="CS87" s="5"/>
      <c r="CT87" s="5"/>
      <c r="CU87" s="13" t="s">
        <v>60</v>
      </c>
      <c r="CV87" s="17"/>
      <c r="CW87" s="13" t="s">
        <v>33</v>
      </c>
      <c r="CX87" s="13" t="s">
        <v>62</v>
      </c>
      <c r="CY87" s="17"/>
      <c r="CZ87" s="5"/>
      <c r="DA87" s="5"/>
      <c r="DB87" s="5"/>
      <c r="DC87" s="12"/>
      <c r="DD87" s="5"/>
      <c r="DE87" s="5"/>
      <c r="DF87" s="5"/>
      <c r="DG87" s="5"/>
      <c r="DH87" s="73" t="e">
        <f t="shared" si="45"/>
        <v>#REF!</v>
      </c>
      <c r="DI87" s="73" t="e">
        <f t="shared" si="45"/>
        <v>#REF!</v>
      </c>
      <c r="DJ87" s="73" t="e">
        <f t="shared" si="46"/>
        <v>#REF!</v>
      </c>
      <c r="DK87" s="6" t="s">
        <v>124</v>
      </c>
      <c r="DL87" s="34" t="e">
        <f>#REF!</f>
        <v>#REF!</v>
      </c>
      <c r="DM87" s="8" t="e">
        <f>$DG$60</f>
        <v>#REF!</v>
      </c>
      <c r="DN87" s="8" t="e">
        <f>#REF!</f>
        <v>#REF!</v>
      </c>
      <c r="DO87" s="8" t="e">
        <f>#REF!</f>
        <v>#REF!</v>
      </c>
      <c r="DP87" s="8" t="e">
        <f>#REF!</f>
        <v>#REF!</v>
      </c>
      <c r="DQ87" s="19" t="s">
        <v>262</v>
      </c>
      <c r="DR87" s="5"/>
      <c r="DS87" s="71" t="e">
        <f t="shared" si="47"/>
        <v>#REF!</v>
      </c>
      <c r="DT87" s="6" t="s">
        <v>124</v>
      </c>
      <c r="DU87" s="34" t="e">
        <f>#REF!</f>
        <v>#REF!</v>
      </c>
      <c r="DV87" s="8" t="e">
        <f>$DF$60</f>
        <v>#REF!</v>
      </c>
      <c r="DW87" s="8" t="e">
        <f>#REF!</f>
        <v>#REF!</v>
      </c>
      <c r="DX87" s="8" t="e">
        <f>#REF!</f>
        <v>#REF!</v>
      </c>
      <c r="DY87" s="8" t="e">
        <f>#REF!</f>
        <v>#REF!</v>
      </c>
      <c r="DZ87" s="19" t="s">
        <v>262</v>
      </c>
      <c r="EA87" s="5"/>
      <c r="EB87" s="71" t="e">
        <f t="shared" si="48"/>
        <v>#REF!</v>
      </c>
      <c r="EC87" s="6" t="s">
        <v>124</v>
      </c>
      <c r="ED87" s="34" t="e">
        <f>#REF!</f>
        <v>#REF!</v>
      </c>
      <c r="EE87" s="8" t="e">
        <f>$DE$60</f>
        <v>#REF!</v>
      </c>
      <c r="EF87" s="8" t="e">
        <f>#REF!</f>
        <v>#REF!</v>
      </c>
      <c r="EG87" s="8" t="e">
        <f>#REF!</f>
        <v>#REF!</v>
      </c>
      <c r="EH87" s="8" t="e">
        <f>#REF!</f>
        <v>#REF!</v>
      </c>
      <c r="EI87" s="19" t="s">
        <v>262</v>
      </c>
      <c r="EJ87" s="5"/>
      <c r="EK87" s="5"/>
      <c r="EL87" s="5"/>
      <c r="EU87" s="34"/>
      <c r="EV87" s="34"/>
      <c r="EW87" s="34"/>
      <c r="EX87" s="34"/>
      <c r="EY87" s="34"/>
      <c r="EZ87" s="34"/>
      <c r="FA87" s="34"/>
      <c r="FB87" s="34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5"/>
      <c r="FS87" s="5"/>
      <c r="FT87" s="5"/>
      <c r="FU87" s="5"/>
      <c r="FV87" s="34"/>
      <c r="FW87" s="34"/>
      <c r="FX87" s="34"/>
      <c r="FY87" s="34"/>
      <c r="FZ87" s="34"/>
      <c r="GA87" s="34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34"/>
      <c r="GN87" s="34"/>
      <c r="GO87" s="34"/>
      <c r="GP87" s="34"/>
      <c r="GQ87" s="34"/>
      <c r="GR87" s="34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pans="1:249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6" t="s">
        <v>84</v>
      </c>
      <c r="CI88" s="6" t="s">
        <v>95</v>
      </c>
      <c r="CJ88" s="6" t="s">
        <v>96</v>
      </c>
      <c r="CK88" s="6" t="s">
        <v>97</v>
      </c>
      <c r="CL88" s="6" t="s">
        <v>72</v>
      </c>
      <c r="CM88" s="6" t="s">
        <v>64</v>
      </c>
      <c r="CN88" s="6" t="s">
        <v>23</v>
      </c>
      <c r="CO88" s="5"/>
      <c r="CP88" s="5"/>
      <c r="CQ88" s="6" t="s">
        <v>24</v>
      </c>
      <c r="CR88" s="5"/>
      <c r="CS88" s="5"/>
      <c r="CT88" s="5"/>
      <c r="CU88" s="13" t="s">
        <v>88</v>
      </c>
      <c r="CV88" s="13" t="s">
        <v>75</v>
      </c>
      <c r="CW88" s="13" t="s">
        <v>98</v>
      </c>
      <c r="CX88" s="13" t="s">
        <v>90</v>
      </c>
      <c r="CY88" s="13" t="s">
        <v>91</v>
      </c>
      <c r="CZ88" s="13" t="s">
        <v>92</v>
      </c>
      <c r="DA88" s="5"/>
      <c r="DB88" s="5"/>
      <c r="DC88" s="12"/>
      <c r="DD88" s="5"/>
      <c r="DE88" s="5"/>
      <c r="DF88" s="5"/>
      <c r="DG88" s="5"/>
      <c r="DH88" s="73" t="e">
        <f t="shared" si="45"/>
        <v>#REF!</v>
      </c>
      <c r="DI88" s="73" t="e">
        <f t="shared" si="45"/>
        <v>#REF!</v>
      </c>
      <c r="DJ88" s="73" t="e">
        <f t="shared" si="46"/>
        <v>#REF!</v>
      </c>
      <c r="DK88" s="6" t="s">
        <v>124</v>
      </c>
      <c r="DL88" s="34" t="e">
        <f>#REF!</f>
        <v>#REF!</v>
      </c>
      <c r="DM88" s="8" t="e">
        <f>#REF!</f>
        <v>#REF!</v>
      </c>
      <c r="DN88" s="8" t="e">
        <f>#REF!</f>
        <v>#REF!</v>
      </c>
      <c r="DO88" s="8" t="e">
        <f>#REF!</f>
        <v>#REF!</v>
      </c>
      <c r="DP88" s="8">
        <f>$DG$30</f>
        <v>0</v>
      </c>
      <c r="DQ88" s="19" t="s">
        <v>240</v>
      </c>
      <c r="DR88" s="5"/>
      <c r="DS88" s="71" t="e">
        <f t="shared" si="47"/>
        <v>#REF!</v>
      </c>
      <c r="DT88" s="73">
        <v>257</v>
      </c>
      <c r="DU88" s="34" t="e">
        <f>#REF!</f>
        <v>#REF!</v>
      </c>
      <c r="DV88" s="8" t="e">
        <f>#REF!</f>
        <v>#REF!</v>
      </c>
      <c r="DW88" s="8" t="e">
        <f>#REF!</f>
        <v>#REF!</v>
      </c>
      <c r="DX88" s="8" t="e">
        <f>#REF!</f>
        <v>#REF!</v>
      </c>
      <c r="DY88" s="8">
        <f>$DF$30</f>
        <v>0</v>
      </c>
      <c r="DZ88" s="19" t="s">
        <v>240</v>
      </c>
      <c r="EA88" s="5"/>
      <c r="EB88" s="71" t="e">
        <f t="shared" si="48"/>
        <v>#REF!</v>
      </c>
      <c r="EC88" s="73">
        <f>173+40+359+73</f>
        <v>645</v>
      </c>
      <c r="ED88" s="34" t="e">
        <f>#REF!</f>
        <v>#REF!</v>
      </c>
      <c r="EE88" s="8" t="e">
        <f>#REF!</f>
        <v>#REF!</v>
      </c>
      <c r="EF88" s="8" t="e">
        <f>#REF!</f>
        <v>#REF!</v>
      </c>
      <c r="EG88" s="8" t="e">
        <f>#REF!</f>
        <v>#REF!</v>
      </c>
      <c r="EH88" s="8">
        <f>$DE$30</f>
        <v>0</v>
      </c>
      <c r="EI88" s="19" t="s">
        <v>240</v>
      </c>
      <c r="EJ88" s="5"/>
      <c r="EK88" s="5"/>
      <c r="EL88" s="5"/>
      <c r="EU88" s="34" t="s">
        <v>124</v>
      </c>
      <c r="EV88" s="34">
        <f>EV90+EV91</f>
        <v>873</v>
      </c>
      <c r="EW88" s="34">
        <f>EW90+EW91</f>
        <v>162</v>
      </c>
      <c r="EX88" s="34" t="s">
        <v>124</v>
      </c>
      <c r="EY88" s="34">
        <f>EY90+EY91</f>
        <v>2762</v>
      </c>
      <c r="EZ88" s="34">
        <f>EZ90+EZ91</f>
        <v>900</v>
      </c>
      <c r="FA88" s="34">
        <f>FA90+FA91</f>
        <v>2336</v>
      </c>
      <c r="FB88" s="34">
        <f>SUM(EU88:FA88)</f>
        <v>7033</v>
      </c>
      <c r="FC88" s="11" t="s">
        <v>179</v>
      </c>
      <c r="FD88" s="8"/>
      <c r="FE88" s="11" t="s">
        <v>168</v>
      </c>
      <c r="FF88" s="8"/>
      <c r="FG88" s="8"/>
      <c r="FH88" s="8"/>
      <c r="FI88" s="8"/>
      <c r="FJ88" s="8">
        <f>FB88</f>
        <v>7033</v>
      </c>
      <c r="FK88" s="8">
        <f>FA88</f>
        <v>2336</v>
      </c>
      <c r="FL88" s="8">
        <f>EZ88</f>
        <v>900</v>
      </c>
      <c r="FM88" s="8">
        <f>EY88</f>
        <v>2762</v>
      </c>
      <c r="FN88" s="11" t="s">
        <v>124</v>
      </c>
      <c r="FO88" s="8">
        <f>EW88</f>
        <v>162</v>
      </c>
      <c r="FP88" s="8">
        <f>EV88</f>
        <v>873</v>
      </c>
      <c r="FQ88" s="11" t="s">
        <v>124</v>
      </c>
      <c r="FR88" s="5"/>
      <c r="FS88" s="5"/>
      <c r="FT88" s="5"/>
      <c r="FU88" s="5"/>
      <c r="FV88" s="34" t="e">
        <f>#REF!</f>
        <v>#REF!</v>
      </c>
      <c r="FW88" s="34" t="e">
        <f>#REF!</f>
        <v>#REF!</v>
      </c>
      <c r="FX88" s="34" t="e">
        <f>#REF!</f>
        <v>#REF!</v>
      </c>
      <c r="FY88" s="34">
        <v>2126</v>
      </c>
      <c r="FZ88" s="34" t="e">
        <f>#REF!</f>
        <v>#REF!</v>
      </c>
      <c r="GA88" s="34">
        <f>DG$36</f>
        <v>0</v>
      </c>
      <c r="GB88" s="11" t="s">
        <v>216</v>
      </c>
      <c r="GC88" s="8"/>
      <c r="GD88" s="8"/>
      <c r="GE88" s="8"/>
      <c r="GF88" s="8"/>
      <c r="GG88" s="8"/>
      <c r="GH88" s="11" t="s">
        <v>208</v>
      </c>
      <c r="GI88" s="8"/>
      <c r="GJ88" s="8"/>
      <c r="GK88" s="8"/>
      <c r="GL88" s="8"/>
      <c r="GM88" s="34">
        <f>GA88</f>
        <v>0</v>
      </c>
      <c r="GN88" s="34" t="e">
        <f>FZ88</f>
        <v>#REF!</v>
      </c>
      <c r="GO88" s="34">
        <f>FY88</f>
        <v>2126</v>
      </c>
      <c r="GP88" s="34" t="e">
        <f>FX88</f>
        <v>#REF!</v>
      </c>
      <c r="GQ88" s="34" t="e">
        <f>FW88</f>
        <v>#REF!</v>
      </c>
      <c r="GR88" s="34" t="e">
        <f>FV88</f>
        <v>#REF!</v>
      </c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pans="1:249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6" t="s">
        <v>248</v>
      </c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6" t="s">
        <v>249</v>
      </c>
      <c r="CX89" s="5"/>
      <c r="CY89" s="5"/>
      <c r="CZ89" s="5"/>
      <c r="DA89" s="5"/>
      <c r="DB89" s="5"/>
      <c r="DC89" s="12"/>
      <c r="DD89" s="5"/>
      <c r="DE89" s="5"/>
      <c r="DF89" s="5"/>
      <c r="DG89" s="5"/>
      <c r="DH89" s="73" t="e">
        <f t="shared" si="45"/>
        <v>#REF!</v>
      </c>
      <c r="DI89" s="73" t="e">
        <f t="shared" si="45"/>
        <v>#REF!</v>
      </c>
      <c r="DJ89" s="73" t="e">
        <f t="shared" si="46"/>
        <v>#REF!</v>
      </c>
      <c r="DK89" s="6" t="s">
        <v>124</v>
      </c>
      <c r="DL89" s="34" t="e">
        <f>#REF!</f>
        <v>#REF!</v>
      </c>
      <c r="DM89" s="8" t="e">
        <f>#REF!</f>
        <v>#REF!</v>
      </c>
      <c r="DN89" s="8" t="e">
        <f>#REF!</f>
        <v>#REF!</v>
      </c>
      <c r="DO89" s="8" t="e">
        <f>#REF!</f>
        <v>#REF!</v>
      </c>
      <c r="DP89" s="8" t="e">
        <f>#REF!</f>
        <v>#REF!</v>
      </c>
      <c r="DQ89" s="19" t="s">
        <v>217</v>
      </c>
      <c r="DR89" s="5"/>
      <c r="DS89" s="71" t="e">
        <f t="shared" si="47"/>
        <v>#REF!</v>
      </c>
      <c r="DT89" s="6" t="s">
        <v>124</v>
      </c>
      <c r="DU89" s="34" t="e">
        <f>#REF!</f>
        <v>#REF!</v>
      </c>
      <c r="DV89" s="8" t="e">
        <f>#REF!</f>
        <v>#REF!</v>
      </c>
      <c r="DW89" s="8" t="e">
        <f>#REF!</f>
        <v>#REF!</v>
      </c>
      <c r="DX89" s="8" t="e">
        <f>#REF!</f>
        <v>#REF!</v>
      </c>
      <c r="DY89" s="8" t="e">
        <f>#REF!</f>
        <v>#REF!</v>
      </c>
      <c r="DZ89" s="19" t="s">
        <v>217</v>
      </c>
      <c r="EA89" s="5"/>
      <c r="EB89" s="71" t="e">
        <f t="shared" si="48"/>
        <v>#REF!</v>
      </c>
      <c r="EC89" s="6" t="s">
        <v>124</v>
      </c>
      <c r="ED89" s="34" t="e">
        <f>#REF!</f>
        <v>#REF!</v>
      </c>
      <c r="EE89" s="8" t="e">
        <f>#REF!</f>
        <v>#REF!</v>
      </c>
      <c r="EF89" s="8" t="e">
        <f>#REF!</f>
        <v>#REF!</v>
      </c>
      <c r="EG89" s="8" t="e">
        <f>#REF!</f>
        <v>#REF!</v>
      </c>
      <c r="EH89" s="8" t="e">
        <f>#REF!</f>
        <v>#REF!</v>
      </c>
      <c r="EI89" s="19" t="s">
        <v>217</v>
      </c>
      <c r="EJ89" s="5"/>
      <c r="EK89" s="5"/>
      <c r="EL89" s="5"/>
      <c r="EU89" s="34"/>
      <c r="EV89" s="34"/>
      <c r="EW89" s="34"/>
      <c r="EX89" s="34"/>
      <c r="EY89" s="34"/>
      <c r="EZ89" s="34"/>
      <c r="FA89" s="34"/>
      <c r="FB89" s="34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8">
        <f>SUM(CH91:CH97)</f>
        <v>1520</v>
      </c>
      <c r="CI90" s="8">
        <f>SUM(CI91:CI97)</f>
        <v>5430</v>
      </c>
      <c r="CJ90" s="8">
        <f>SUM(CJ91:CJ97)</f>
        <v>23550</v>
      </c>
      <c r="CK90" s="8">
        <f>SUM(CK91:CK97)</f>
        <v>21960</v>
      </c>
      <c r="CL90" s="8">
        <f>SUM(CL91:CL97)</f>
        <v>66750</v>
      </c>
      <c r="CM90" s="8">
        <f t="shared" ref="CM90:CM97" si="49">CL90+CJ90+CI90+CH90</f>
        <v>97250</v>
      </c>
      <c r="CN90" s="11" t="s">
        <v>72</v>
      </c>
      <c r="CO90" s="8"/>
      <c r="CP90" s="8"/>
      <c r="CQ90" s="11" t="s">
        <v>75</v>
      </c>
      <c r="CR90" s="8"/>
      <c r="CS90" s="8"/>
      <c r="CT90" s="8"/>
      <c r="CU90" s="34">
        <f t="shared" ref="CU90:CU97" si="50">CM90</f>
        <v>97250</v>
      </c>
      <c r="CV90" s="34">
        <f t="shared" ref="CV90:CV97" si="51">CL90</f>
        <v>66750</v>
      </c>
      <c r="CW90" s="34">
        <f t="shared" ref="CW90:CW97" si="52">CK90</f>
        <v>21960</v>
      </c>
      <c r="CX90" s="34">
        <f t="shared" ref="CX90:CX97" si="53">CJ90</f>
        <v>23550</v>
      </c>
      <c r="CY90" s="34">
        <f t="shared" ref="CY90:CY97" si="54">CI90</f>
        <v>5430</v>
      </c>
      <c r="CZ90" s="34">
        <f t="shared" ref="CZ90:CZ97" si="55">CH90</f>
        <v>1520</v>
      </c>
      <c r="DA90" s="5"/>
      <c r="DB90" s="5"/>
      <c r="DC90" s="12"/>
      <c r="DD90" s="5"/>
      <c r="DE90" s="5"/>
      <c r="DF90" s="5"/>
      <c r="DG90" s="5"/>
      <c r="DH90" s="73" t="e">
        <f t="shared" si="45"/>
        <v>#REF!</v>
      </c>
      <c r="DI90" s="73" t="e">
        <f t="shared" si="45"/>
        <v>#REF!</v>
      </c>
      <c r="DJ90" s="73" t="e">
        <f t="shared" si="46"/>
        <v>#REF!</v>
      </c>
      <c r="DK90" s="73">
        <f>'[2]T308-317'!$GG$24</f>
        <v>1654</v>
      </c>
      <c r="DL90" s="34" t="e">
        <f>#REF!</f>
        <v>#REF!</v>
      </c>
      <c r="DM90" s="8" t="e">
        <f>#REF!</f>
        <v>#REF!</v>
      </c>
      <c r="DN90" s="8" t="e">
        <f>#REF!</f>
        <v>#REF!</v>
      </c>
      <c r="DO90" s="8" t="e">
        <f>#REF!</f>
        <v>#REF!</v>
      </c>
      <c r="DP90" s="8">
        <f>$DG$36</f>
        <v>0</v>
      </c>
      <c r="DQ90" s="19" t="s">
        <v>216</v>
      </c>
      <c r="DR90" s="5"/>
      <c r="DS90" s="71" t="e">
        <f t="shared" si="47"/>
        <v>#REF!</v>
      </c>
      <c r="DT90" s="73">
        <f>'[2]T308-317'!$GG$25-257</f>
        <v>1423</v>
      </c>
      <c r="DU90" s="34" t="e">
        <f>#REF!</f>
        <v>#REF!</v>
      </c>
      <c r="DV90" s="8" t="e">
        <f>#REF!</f>
        <v>#REF!</v>
      </c>
      <c r="DW90" s="8" t="e">
        <f>#REF!</f>
        <v>#REF!</v>
      </c>
      <c r="DX90" s="8" t="e">
        <f>#REF!</f>
        <v>#REF!</v>
      </c>
      <c r="DY90" s="8">
        <f>$DF$36</f>
        <v>0</v>
      </c>
      <c r="DZ90" s="19" t="s">
        <v>216</v>
      </c>
      <c r="EA90" s="5"/>
      <c r="EB90" s="71" t="e">
        <f t="shared" si="48"/>
        <v>#REF!</v>
      </c>
      <c r="EC90" s="73">
        <f>'[2]T308-317'!$GG$26-EC88</f>
        <v>1269</v>
      </c>
      <c r="ED90" s="34" t="e">
        <f>#REF!</f>
        <v>#REF!</v>
      </c>
      <c r="EE90" s="8" t="e">
        <f>#REF!</f>
        <v>#REF!</v>
      </c>
      <c r="EF90" s="8" t="e">
        <f>#REF!</f>
        <v>#REF!</v>
      </c>
      <c r="EG90" s="8" t="e">
        <f>#REF!</f>
        <v>#REF!</v>
      </c>
      <c r="EH90" s="8">
        <f>$DE$36</f>
        <v>0</v>
      </c>
      <c r="EI90" s="19" t="s">
        <v>216</v>
      </c>
      <c r="EJ90" s="5"/>
      <c r="EK90" s="5"/>
      <c r="EL90" s="5"/>
      <c r="EU90" s="34" t="s">
        <v>124</v>
      </c>
      <c r="EV90" s="34">
        <v>469</v>
      </c>
      <c r="EW90" s="34" t="s">
        <v>124</v>
      </c>
      <c r="EX90" s="34" t="s">
        <v>124</v>
      </c>
      <c r="EY90" s="34">
        <v>1136</v>
      </c>
      <c r="EZ90" s="34">
        <v>900</v>
      </c>
      <c r="FA90" s="34">
        <v>850</v>
      </c>
      <c r="FB90" s="34">
        <f>SUM(EU90:FA90)</f>
        <v>3355</v>
      </c>
      <c r="FC90" s="11" t="s">
        <v>185</v>
      </c>
      <c r="FD90" s="8"/>
      <c r="FE90" s="11" t="s">
        <v>190</v>
      </c>
      <c r="FF90" s="8"/>
      <c r="FG90" s="8"/>
      <c r="FH90" s="8"/>
      <c r="FI90" s="8"/>
      <c r="FJ90" s="8">
        <f>FB90</f>
        <v>3355</v>
      </c>
      <c r="FK90" s="8">
        <f>FA90</f>
        <v>850</v>
      </c>
      <c r="FL90" s="8">
        <f>EZ90</f>
        <v>900</v>
      </c>
      <c r="FM90" s="8">
        <f>EY90</f>
        <v>1136</v>
      </c>
      <c r="FN90" s="11" t="s">
        <v>124</v>
      </c>
      <c r="FO90" s="11" t="s">
        <v>124</v>
      </c>
      <c r="FP90" s="8">
        <f>EV90</f>
        <v>469</v>
      </c>
      <c r="FQ90" s="11" t="s">
        <v>124</v>
      </c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6" t="s">
        <v>221</v>
      </c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8">
        <v>250</v>
      </c>
      <c r="CI91" s="8">
        <v>1950</v>
      </c>
      <c r="CJ91" s="8">
        <v>5930</v>
      </c>
      <c r="CK91" s="8">
        <v>4000</v>
      </c>
      <c r="CL91" s="8">
        <v>12170</v>
      </c>
      <c r="CM91" s="8">
        <f t="shared" si="49"/>
        <v>20300</v>
      </c>
      <c r="CN91" s="11" t="s">
        <v>144</v>
      </c>
      <c r="CO91" s="8"/>
      <c r="CP91" s="8"/>
      <c r="CQ91" s="11" t="s">
        <v>145</v>
      </c>
      <c r="CR91" s="8"/>
      <c r="CS91" s="8"/>
      <c r="CT91" s="8"/>
      <c r="CU91" s="34">
        <f t="shared" si="50"/>
        <v>20300</v>
      </c>
      <c r="CV91" s="34">
        <f t="shared" si="51"/>
        <v>12170</v>
      </c>
      <c r="CW91" s="34">
        <f t="shared" si="52"/>
        <v>4000</v>
      </c>
      <c r="CX91" s="34">
        <f t="shared" si="53"/>
        <v>5930</v>
      </c>
      <c r="CY91" s="34">
        <f t="shared" si="54"/>
        <v>1950</v>
      </c>
      <c r="CZ91" s="34">
        <f t="shared" si="55"/>
        <v>250</v>
      </c>
      <c r="DA91" s="5"/>
      <c r="DB91" s="5"/>
      <c r="DC91" s="145"/>
      <c r="DD91" s="34"/>
      <c r="DE91" s="34"/>
      <c r="DF91" s="34"/>
      <c r="DG91" s="34"/>
      <c r="DH91" s="5"/>
      <c r="DI91" s="5"/>
      <c r="DJ91" s="5"/>
      <c r="DK91" s="5"/>
      <c r="DL91" s="71" t="e">
        <f t="shared" ref="DL91:DP98" si="56">DL83/DL$83*100</f>
        <v>#REF!</v>
      </c>
      <c r="DM91" s="71" t="e">
        <f t="shared" si="56"/>
        <v>#REF!</v>
      </c>
      <c r="DN91" s="71" t="e">
        <f t="shared" si="56"/>
        <v>#REF!</v>
      </c>
      <c r="DO91" s="71" t="e">
        <f t="shared" si="56"/>
        <v>#REF!</v>
      </c>
      <c r="DP91" s="71" t="e">
        <f t="shared" si="56"/>
        <v>#REF!</v>
      </c>
      <c r="DQ91" s="5"/>
      <c r="DR91" s="5"/>
      <c r="DS91" s="5"/>
      <c r="DT91" s="73" t="e">
        <f>DT84+DX84</f>
        <v>#REF!</v>
      </c>
      <c r="DU91" s="71" t="e">
        <f t="shared" ref="DU91:DY98" si="57">DU83/DU$83*100</f>
        <v>#REF!</v>
      </c>
      <c r="DV91" s="71" t="e">
        <f t="shared" si="57"/>
        <v>#REF!</v>
      </c>
      <c r="DW91" s="71" t="e">
        <f t="shared" si="57"/>
        <v>#REF!</v>
      </c>
      <c r="DX91" s="71" t="e">
        <f t="shared" si="57"/>
        <v>#REF!</v>
      </c>
      <c r="DY91" s="71" t="e">
        <f t="shared" si="57"/>
        <v>#REF!</v>
      </c>
      <c r="DZ91" s="5"/>
      <c r="EA91" s="73" t="e">
        <f>EC90+EG90</f>
        <v>#REF!</v>
      </c>
      <c r="EB91" s="5"/>
      <c r="EC91" s="73" t="e">
        <f>EC84+EG84</f>
        <v>#REF!</v>
      </c>
      <c r="ED91" s="71" t="e">
        <f t="shared" ref="ED91:EH98" si="58">ED83/ED$83*100</f>
        <v>#REF!</v>
      </c>
      <c r="EE91" s="71" t="e">
        <f t="shared" si="58"/>
        <v>#REF!</v>
      </c>
      <c r="EF91" s="71" t="e">
        <f t="shared" si="58"/>
        <v>#REF!</v>
      </c>
      <c r="EG91" s="71" t="e">
        <f t="shared" si="58"/>
        <v>#REF!</v>
      </c>
      <c r="EH91" s="71" t="e">
        <f t="shared" si="58"/>
        <v>#REF!</v>
      </c>
      <c r="EI91" s="5"/>
      <c r="EJ91" s="5"/>
      <c r="EK91" s="5"/>
      <c r="EL91" s="5"/>
      <c r="EU91" s="34" t="s">
        <v>124</v>
      </c>
      <c r="EV91" s="34">
        <v>404</v>
      </c>
      <c r="EW91" s="34">
        <v>162</v>
      </c>
      <c r="EX91" s="34" t="s">
        <v>124</v>
      </c>
      <c r="EY91" s="34">
        <v>1626</v>
      </c>
      <c r="EZ91" s="34" t="s">
        <v>124</v>
      </c>
      <c r="FA91" s="34">
        <v>1486</v>
      </c>
      <c r="FB91" s="34">
        <f>SUM(EU91:FA91)</f>
        <v>3678</v>
      </c>
      <c r="FC91" s="11" t="s">
        <v>189</v>
      </c>
      <c r="FD91" s="8"/>
      <c r="FE91" s="11" t="s">
        <v>192</v>
      </c>
      <c r="FF91" s="8"/>
      <c r="FG91" s="8"/>
      <c r="FH91" s="8"/>
      <c r="FI91" s="8"/>
      <c r="FJ91" s="8">
        <f>FB91</f>
        <v>3678</v>
      </c>
      <c r="FK91" s="8">
        <f>FA91</f>
        <v>1486</v>
      </c>
      <c r="FL91" s="11" t="s">
        <v>124</v>
      </c>
      <c r="FM91" s="8">
        <f>EY91</f>
        <v>1626</v>
      </c>
      <c r="FN91" s="11" t="s">
        <v>124</v>
      </c>
      <c r="FO91" s="8">
        <f>EW91</f>
        <v>162</v>
      </c>
      <c r="FP91" s="8">
        <f>EV91</f>
        <v>404</v>
      </c>
      <c r="FQ91" s="11" t="s">
        <v>124</v>
      </c>
      <c r="FR91" s="5"/>
      <c r="FS91" s="5"/>
      <c r="FT91" s="5"/>
      <c r="FU91" s="5"/>
      <c r="FV91" s="18"/>
      <c r="FW91" s="5"/>
      <c r="FX91" s="6" t="s">
        <v>231</v>
      </c>
      <c r="FY91" s="5"/>
      <c r="FZ91" s="5"/>
      <c r="GA91" s="5"/>
      <c r="GB91" s="5"/>
      <c r="GC91" s="5"/>
      <c r="GD91" s="5"/>
      <c r="GE91" s="5"/>
      <c r="GF91" s="5"/>
      <c r="GG91" s="5"/>
      <c r="GH91" s="6" t="s">
        <v>222</v>
      </c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8">
        <v>50</v>
      </c>
      <c r="CI92" s="8">
        <v>650</v>
      </c>
      <c r="CJ92" s="8">
        <v>2240</v>
      </c>
      <c r="CK92" s="8">
        <v>1750</v>
      </c>
      <c r="CL92" s="8">
        <v>7540</v>
      </c>
      <c r="CM92" s="8">
        <f t="shared" si="49"/>
        <v>10480</v>
      </c>
      <c r="CN92" s="11" t="s">
        <v>70</v>
      </c>
      <c r="CO92" s="8"/>
      <c r="CP92" s="8"/>
      <c r="CQ92" s="11" t="s">
        <v>77</v>
      </c>
      <c r="CR92" s="8"/>
      <c r="CS92" s="8"/>
      <c r="CT92" s="8"/>
      <c r="CU92" s="34">
        <f t="shared" si="50"/>
        <v>10480</v>
      </c>
      <c r="CV92" s="34">
        <f t="shared" si="51"/>
        <v>7540</v>
      </c>
      <c r="CW92" s="34">
        <f t="shared" si="52"/>
        <v>1750</v>
      </c>
      <c r="CX92" s="34">
        <f t="shared" si="53"/>
        <v>2240</v>
      </c>
      <c r="CY92" s="34">
        <f t="shared" si="54"/>
        <v>650</v>
      </c>
      <c r="CZ92" s="34">
        <f t="shared" si="55"/>
        <v>50</v>
      </c>
      <c r="DA92" s="5"/>
      <c r="DB92" s="5"/>
      <c r="DC92" s="12"/>
      <c r="DD92" s="5"/>
      <c r="DE92" s="5"/>
      <c r="DF92" s="5"/>
      <c r="DG92" s="5"/>
      <c r="DH92" s="5"/>
      <c r="DI92" s="5"/>
      <c r="DJ92" s="5"/>
      <c r="DK92" s="5"/>
      <c r="DL92" s="71" t="e">
        <f t="shared" si="56"/>
        <v>#REF!</v>
      </c>
      <c r="DM92" s="71" t="e">
        <f t="shared" si="56"/>
        <v>#REF!</v>
      </c>
      <c r="DN92" s="71" t="e">
        <f t="shared" si="56"/>
        <v>#REF!</v>
      </c>
      <c r="DO92" s="71" t="e">
        <f t="shared" si="56"/>
        <v>#REF!</v>
      </c>
      <c r="DP92" s="71" t="e">
        <f t="shared" si="56"/>
        <v>#REF!</v>
      </c>
      <c r="DQ92" s="5"/>
      <c r="DR92" s="5"/>
      <c r="DS92" s="5"/>
      <c r="DT92" s="73" t="e">
        <f>DT86+DX86</f>
        <v>#REF!</v>
      </c>
      <c r="DU92" s="71" t="e">
        <f t="shared" si="57"/>
        <v>#REF!</v>
      </c>
      <c r="DV92" s="71" t="e">
        <f t="shared" si="57"/>
        <v>#REF!</v>
      </c>
      <c r="DW92" s="71" t="e">
        <f t="shared" si="57"/>
        <v>#REF!</v>
      </c>
      <c r="DX92" s="71" t="e">
        <f t="shared" si="57"/>
        <v>#REF!</v>
      </c>
      <c r="DY92" s="71" t="e">
        <f t="shared" si="57"/>
        <v>#REF!</v>
      </c>
      <c r="DZ92" s="5"/>
      <c r="EA92" s="5"/>
      <c r="EB92" s="5"/>
      <c r="EC92" s="73" t="e">
        <f>EC86+EG86</f>
        <v>#REF!</v>
      </c>
      <c r="ED92" s="71" t="e">
        <f t="shared" si="58"/>
        <v>#REF!</v>
      </c>
      <c r="EE92" s="71" t="e">
        <f t="shared" si="58"/>
        <v>#REF!</v>
      </c>
      <c r="EF92" s="71" t="e">
        <f t="shared" si="58"/>
        <v>#REF!</v>
      </c>
      <c r="EG92" s="71" t="e">
        <f t="shared" si="58"/>
        <v>#REF!</v>
      </c>
      <c r="EH92" s="71" t="e">
        <f t="shared" si="58"/>
        <v>#REF!</v>
      </c>
      <c r="EI92" s="5"/>
      <c r="EJ92" s="5"/>
      <c r="EK92" s="5"/>
      <c r="EL92" s="5"/>
      <c r="EU92" s="34"/>
      <c r="EV92" s="34"/>
      <c r="EW92" s="34"/>
      <c r="EX92" s="34"/>
      <c r="EY92" s="34"/>
      <c r="EZ92" s="34"/>
      <c r="FA92" s="34"/>
      <c r="FB92" s="34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5"/>
      <c r="FS92" s="5"/>
      <c r="FT92" s="5"/>
      <c r="FU92" s="5"/>
      <c r="FV92" s="6" t="s">
        <v>219</v>
      </c>
      <c r="FW92" s="5"/>
      <c r="FX92" s="18"/>
      <c r="FY92" s="5"/>
      <c r="FZ92" s="5"/>
      <c r="GA92" s="5"/>
      <c r="GB92" s="5"/>
      <c r="GC92" s="5"/>
      <c r="GD92" s="5"/>
      <c r="GE92" s="5"/>
      <c r="GF92" s="5"/>
      <c r="GG92" s="5"/>
      <c r="GH92" s="6" t="s">
        <v>253</v>
      </c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pans="1:249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8">
        <v>380</v>
      </c>
      <c r="CI93" s="8">
        <v>1160</v>
      </c>
      <c r="CJ93" s="8">
        <v>7800</v>
      </c>
      <c r="CK93" s="8">
        <v>4610</v>
      </c>
      <c r="CL93" s="8">
        <v>16690</v>
      </c>
      <c r="CM93" s="8">
        <f t="shared" si="49"/>
        <v>26030</v>
      </c>
      <c r="CN93" s="11" t="s">
        <v>175</v>
      </c>
      <c r="CO93" s="8"/>
      <c r="CP93" s="8"/>
      <c r="CQ93" s="11" t="s">
        <v>176</v>
      </c>
      <c r="CR93" s="8"/>
      <c r="CS93" s="8"/>
      <c r="CT93" s="8"/>
      <c r="CU93" s="34">
        <f t="shared" si="50"/>
        <v>26030</v>
      </c>
      <c r="CV93" s="34">
        <f t="shared" si="51"/>
        <v>16690</v>
      </c>
      <c r="CW93" s="34">
        <f t="shared" si="52"/>
        <v>4610</v>
      </c>
      <c r="CX93" s="34">
        <f t="shared" si="53"/>
        <v>7800</v>
      </c>
      <c r="CY93" s="34">
        <f t="shared" si="54"/>
        <v>1160</v>
      </c>
      <c r="CZ93" s="34">
        <f t="shared" si="55"/>
        <v>380</v>
      </c>
      <c r="DA93" s="5"/>
      <c r="DB93" s="5"/>
      <c r="DC93" s="12"/>
      <c r="DD93" s="5"/>
      <c r="DE93" s="5"/>
      <c r="DF93" s="5"/>
      <c r="DG93" s="5"/>
      <c r="DH93" s="5"/>
      <c r="DI93" s="5"/>
      <c r="DJ93" s="5"/>
      <c r="DK93" s="5"/>
      <c r="DL93" s="71" t="e">
        <f t="shared" si="56"/>
        <v>#REF!</v>
      </c>
      <c r="DM93" s="71" t="e">
        <f t="shared" si="56"/>
        <v>#REF!</v>
      </c>
      <c r="DN93" s="71" t="e">
        <f t="shared" si="56"/>
        <v>#REF!</v>
      </c>
      <c r="DO93" s="71" t="e">
        <f t="shared" si="56"/>
        <v>#REF!</v>
      </c>
      <c r="DP93" s="71" t="e">
        <f t="shared" si="56"/>
        <v>#REF!</v>
      </c>
      <c r="DQ93" s="5"/>
      <c r="DR93" s="5"/>
      <c r="DS93" s="5"/>
      <c r="DT93" s="73" t="e">
        <f>RATE(5,,-DT94,DT91)</f>
        <v>#REF!</v>
      </c>
      <c r="DU93" s="71" t="e">
        <f t="shared" si="57"/>
        <v>#REF!</v>
      </c>
      <c r="DV93" s="71" t="e">
        <f t="shared" si="57"/>
        <v>#REF!</v>
      </c>
      <c r="DW93" s="71" t="e">
        <f t="shared" si="57"/>
        <v>#REF!</v>
      </c>
      <c r="DX93" s="71" t="e">
        <f t="shared" si="57"/>
        <v>#REF!</v>
      </c>
      <c r="DY93" s="71" t="e">
        <f t="shared" si="57"/>
        <v>#REF!</v>
      </c>
      <c r="DZ93" s="5"/>
      <c r="EA93" s="5"/>
      <c r="EB93" s="5"/>
      <c r="EC93" s="73" t="e">
        <f>RATE(5,,-EC94,EC91)</f>
        <v>#REF!</v>
      </c>
      <c r="ED93" s="71" t="e">
        <f t="shared" si="58"/>
        <v>#REF!</v>
      </c>
      <c r="EE93" s="71" t="e">
        <f t="shared" si="58"/>
        <v>#REF!</v>
      </c>
      <c r="EF93" s="71" t="e">
        <f t="shared" si="58"/>
        <v>#REF!</v>
      </c>
      <c r="EG93" s="71" t="e">
        <f t="shared" si="58"/>
        <v>#REF!</v>
      </c>
      <c r="EH93" s="71" t="e">
        <f t="shared" si="58"/>
        <v>#REF!</v>
      </c>
      <c r="EI93" s="5"/>
      <c r="EJ93" s="5"/>
      <c r="EK93" s="5"/>
      <c r="EL93" s="5"/>
      <c r="EU93" s="34">
        <f t="shared" ref="EU93:FA93" si="59">EU95+EU96+EU97</f>
        <v>759</v>
      </c>
      <c r="EV93" s="34">
        <f t="shared" si="59"/>
        <v>1511</v>
      </c>
      <c r="EW93" s="34">
        <f t="shared" si="59"/>
        <v>1574</v>
      </c>
      <c r="EX93" s="34">
        <f t="shared" si="59"/>
        <v>1779</v>
      </c>
      <c r="EY93" s="34">
        <f t="shared" si="59"/>
        <v>3971</v>
      </c>
      <c r="EZ93" s="34">
        <f t="shared" si="59"/>
        <v>2071</v>
      </c>
      <c r="FA93" s="34">
        <f t="shared" si="59"/>
        <v>3383</v>
      </c>
      <c r="FB93" s="34">
        <f>SUM(EU93:FA93)</f>
        <v>15048</v>
      </c>
      <c r="FC93" s="11" t="s">
        <v>207</v>
      </c>
      <c r="FD93" s="8"/>
      <c r="FE93" s="19" t="s">
        <v>180</v>
      </c>
      <c r="FF93" s="8"/>
      <c r="FG93" s="8"/>
      <c r="FH93" s="8"/>
      <c r="FI93" s="8"/>
      <c r="FJ93" s="8">
        <f>FB93</f>
        <v>15048</v>
      </c>
      <c r="FK93" s="8">
        <f>FA93</f>
        <v>3383</v>
      </c>
      <c r="FL93" s="8">
        <f>EZ93</f>
        <v>2071</v>
      </c>
      <c r="FM93" s="8">
        <f>EY93</f>
        <v>3971</v>
      </c>
      <c r="FN93" s="8">
        <f>EX93</f>
        <v>1779</v>
      </c>
      <c r="FO93" s="8">
        <f>EW93</f>
        <v>1574</v>
      </c>
      <c r="FP93" s="8">
        <f>EV93</f>
        <v>1511</v>
      </c>
      <c r="FQ93" s="8">
        <f>EU93</f>
        <v>759</v>
      </c>
      <c r="FR93" s="5"/>
      <c r="FS93" s="5"/>
      <c r="FT93" s="5"/>
      <c r="FU93" s="5"/>
      <c r="FV93" s="5"/>
      <c r="FW93" s="19" t="s">
        <v>252</v>
      </c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</row>
    <row r="94" spans="1:249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8">
        <v>560</v>
      </c>
      <c r="CI94" s="8">
        <v>610</v>
      </c>
      <c r="CJ94" s="8">
        <v>3110</v>
      </c>
      <c r="CK94" s="8">
        <v>4540</v>
      </c>
      <c r="CL94" s="8">
        <v>12610</v>
      </c>
      <c r="CM94" s="8">
        <f t="shared" si="49"/>
        <v>16890</v>
      </c>
      <c r="CN94" s="11" t="s">
        <v>177</v>
      </c>
      <c r="CO94" s="8"/>
      <c r="CP94" s="8"/>
      <c r="CQ94" s="11" t="s">
        <v>178</v>
      </c>
      <c r="CR94" s="8"/>
      <c r="CS94" s="8"/>
      <c r="CT94" s="8"/>
      <c r="CU94" s="34">
        <f t="shared" si="50"/>
        <v>16890</v>
      </c>
      <c r="CV94" s="34">
        <f t="shared" si="51"/>
        <v>12610</v>
      </c>
      <c r="CW94" s="34">
        <f t="shared" si="52"/>
        <v>4540</v>
      </c>
      <c r="CX94" s="34">
        <f t="shared" si="53"/>
        <v>3110</v>
      </c>
      <c r="CY94" s="34">
        <f t="shared" si="54"/>
        <v>610</v>
      </c>
      <c r="CZ94" s="34">
        <f t="shared" si="55"/>
        <v>560</v>
      </c>
      <c r="DA94" s="5"/>
      <c r="DB94" s="5"/>
      <c r="DC94" s="12"/>
      <c r="DD94" s="5"/>
      <c r="DE94" s="5"/>
      <c r="DF94" s="5"/>
      <c r="DG94" s="5"/>
      <c r="DH94" s="5"/>
      <c r="DI94" s="5"/>
      <c r="DJ94" s="5"/>
      <c r="DK94" s="5"/>
      <c r="DL94" s="71" t="e">
        <f t="shared" si="56"/>
        <v>#REF!</v>
      </c>
      <c r="DM94" s="71" t="e">
        <f t="shared" si="56"/>
        <v>#REF!</v>
      </c>
      <c r="DN94" s="71" t="e">
        <f t="shared" si="56"/>
        <v>#REF!</v>
      </c>
      <c r="DO94" s="71" t="e">
        <f t="shared" si="56"/>
        <v>#REF!</v>
      </c>
      <c r="DP94" s="71" t="e">
        <f t="shared" si="56"/>
        <v>#REF!</v>
      </c>
      <c r="DQ94" s="5"/>
      <c r="DR94" s="5"/>
      <c r="DS94" s="5"/>
      <c r="DT94" s="73" t="e">
        <f>DG70+DH70</f>
        <v>#REF!</v>
      </c>
      <c r="DU94" s="71" t="e">
        <f t="shared" si="57"/>
        <v>#REF!</v>
      </c>
      <c r="DV94" s="71" t="e">
        <f t="shared" si="57"/>
        <v>#REF!</v>
      </c>
      <c r="DW94" s="71" t="e">
        <f t="shared" si="57"/>
        <v>#REF!</v>
      </c>
      <c r="DX94" s="71" t="e">
        <f t="shared" si="57"/>
        <v>#REF!</v>
      </c>
      <c r="DY94" s="71" t="e">
        <f t="shared" si="57"/>
        <v>#REF!</v>
      </c>
      <c r="DZ94" s="5"/>
      <c r="EA94" s="5"/>
      <c r="EB94" s="5"/>
      <c r="EC94" s="73">
        <f>DP70+DQ70</f>
        <v>0</v>
      </c>
      <c r="ED94" s="71" t="e">
        <f t="shared" si="58"/>
        <v>#REF!</v>
      </c>
      <c r="EE94" s="71" t="e">
        <f t="shared" si="58"/>
        <v>#REF!</v>
      </c>
      <c r="EF94" s="71" t="e">
        <f t="shared" si="58"/>
        <v>#REF!</v>
      </c>
      <c r="EG94" s="71" t="e">
        <f t="shared" si="58"/>
        <v>#REF!</v>
      </c>
      <c r="EH94" s="71" t="e">
        <f t="shared" si="58"/>
        <v>#REF!</v>
      </c>
      <c r="EI94" s="5"/>
      <c r="EJ94" s="5"/>
      <c r="EK94" s="5"/>
      <c r="EL94" s="5"/>
      <c r="EU94" s="34"/>
      <c r="EV94" s="34"/>
      <c r="EW94" s="34"/>
      <c r="EX94" s="34"/>
      <c r="EY94" s="34"/>
      <c r="EZ94" s="34"/>
      <c r="FA94" s="34"/>
      <c r="FB94" s="34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</row>
    <row r="95" spans="1:249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8">
        <v>190</v>
      </c>
      <c r="CI95" s="8">
        <v>130</v>
      </c>
      <c r="CJ95" s="8">
        <v>2320</v>
      </c>
      <c r="CK95" s="8">
        <v>3730</v>
      </c>
      <c r="CL95" s="8">
        <v>9800</v>
      </c>
      <c r="CM95" s="8">
        <f t="shared" si="49"/>
        <v>12440</v>
      </c>
      <c r="CN95" s="11" t="s">
        <v>149</v>
      </c>
      <c r="CO95" s="8"/>
      <c r="CP95" s="8"/>
      <c r="CQ95" s="11" t="s">
        <v>150</v>
      </c>
      <c r="CR95" s="8"/>
      <c r="CS95" s="8"/>
      <c r="CT95" s="8"/>
      <c r="CU95" s="34">
        <f t="shared" si="50"/>
        <v>12440</v>
      </c>
      <c r="CV95" s="34">
        <f t="shared" si="51"/>
        <v>9800</v>
      </c>
      <c r="CW95" s="34">
        <f t="shared" si="52"/>
        <v>3730</v>
      </c>
      <c r="CX95" s="34">
        <f t="shared" si="53"/>
        <v>2320</v>
      </c>
      <c r="CY95" s="34">
        <f t="shared" si="54"/>
        <v>130</v>
      </c>
      <c r="CZ95" s="34">
        <f t="shared" si="55"/>
        <v>190</v>
      </c>
      <c r="DA95" s="5"/>
      <c r="DB95" s="5"/>
      <c r="DC95" s="12"/>
      <c r="DD95" s="5"/>
      <c r="DE95" s="5"/>
      <c r="DF95" s="5"/>
      <c r="DG95" s="5"/>
      <c r="DH95" s="5"/>
      <c r="DI95" s="5"/>
      <c r="DJ95" s="5"/>
      <c r="DK95" s="5"/>
      <c r="DL95" s="71" t="e">
        <f t="shared" si="56"/>
        <v>#REF!</v>
      </c>
      <c r="DM95" s="71" t="e">
        <f t="shared" si="56"/>
        <v>#REF!</v>
      </c>
      <c r="DN95" s="71" t="e">
        <f t="shared" si="56"/>
        <v>#REF!</v>
      </c>
      <c r="DO95" s="71" t="e">
        <f t="shared" si="56"/>
        <v>#REF!</v>
      </c>
      <c r="DP95" s="71" t="e">
        <f t="shared" si="56"/>
        <v>#REF!</v>
      </c>
      <c r="DQ95" s="5"/>
      <c r="DR95" s="5"/>
      <c r="DS95" s="5"/>
      <c r="DT95" s="5"/>
      <c r="DU95" s="71" t="e">
        <f t="shared" si="57"/>
        <v>#REF!</v>
      </c>
      <c r="DV95" s="71" t="e">
        <f t="shared" si="57"/>
        <v>#REF!</v>
      </c>
      <c r="DW95" s="71" t="e">
        <f t="shared" si="57"/>
        <v>#REF!</v>
      </c>
      <c r="DX95" s="71" t="e">
        <f t="shared" si="57"/>
        <v>#REF!</v>
      </c>
      <c r="DY95" s="71" t="e">
        <f t="shared" si="57"/>
        <v>#REF!</v>
      </c>
      <c r="DZ95" s="5"/>
      <c r="EA95" s="5"/>
      <c r="EB95" s="5"/>
      <c r="EC95" s="5"/>
      <c r="ED95" s="71" t="e">
        <f t="shared" si="58"/>
        <v>#REF!</v>
      </c>
      <c r="EE95" s="71" t="e">
        <f t="shared" si="58"/>
        <v>#REF!</v>
      </c>
      <c r="EF95" s="71" t="e">
        <f t="shared" si="58"/>
        <v>#REF!</v>
      </c>
      <c r="EG95" s="71" t="e">
        <f t="shared" si="58"/>
        <v>#REF!</v>
      </c>
      <c r="EH95" s="71" t="e">
        <f t="shared" si="58"/>
        <v>#REF!</v>
      </c>
      <c r="EI95" s="5"/>
      <c r="EJ95" s="5"/>
      <c r="EK95" s="5"/>
      <c r="EL95" s="5"/>
      <c r="EU95" s="34">
        <v>102</v>
      </c>
      <c r="EV95" s="34">
        <v>589</v>
      </c>
      <c r="EW95" s="34">
        <v>1415</v>
      </c>
      <c r="EX95" s="34">
        <v>856</v>
      </c>
      <c r="EY95" s="34">
        <v>1776</v>
      </c>
      <c r="EZ95" s="34">
        <v>1310</v>
      </c>
      <c r="FA95" s="34">
        <v>1076</v>
      </c>
      <c r="FB95" s="34">
        <f>SUM(EU95:FA95)</f>
        <v>7124</v>
      </c>
      <c r="FC95" s="11" t="s">
        <v>210</v>
      </c>
      <c r="FD95" s="8"/>
      <c r="FE95" s="11" t="s">
        <v>212</v>
      </c>
      <c r="FF95" s="8"/>
      <c r="FG95" s="8"/>
      <c r="FH95" s="8"/>
      <c r="FI95" s="8"/>
      <c r="FJ95" s="8">
        <f>FB95</f>
        <v>7124</v>
      </c>
      <c r="FK95" s="8">
        <f>FA95</f>
        <v>1076</v>
      </c>
      <c r="FL95" s="8">
        <f>EZ95</f>
        <v>1310</v>
      </c>
      <c r="FM95" s="8">
        <f>EY95</f>
        <v>1776</v>
      </c>
      <c r="FN95" s="8">
        <f>EX95</f>
        <v>856</v>
      </c>
      <c r="FO95" s="8">
        <f>EW95</f>
        <v>1415</v>
      </c>
      <c r="FP95" s="8">
        <f>EV95</f>
        <v>589</v>
      </c>
      <c r="FQ95" s="8">
        <f>EU95</f>
        <v>102</v>
      </c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:249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8">
        <v>90</v>
      </c>
      <c r="CI96" s="8">
        <v>380</v>
      </c>
      <c r="CJ96" s="8">
        <v>1930</v>
      </c>
      <c r="CK96" s="8">
        <v>3330</v>
      </c>
      <c r="CL96" s="8">
        <v>7940</v>
      </c>
      <c r="CM96" s="8">
        <f t="shared" si="49"/>
        <v>10340</v>
      </c>
      <c r="CN96" s="11" t="s">
        <v>183</v>
      </c>
      <c r="CO96" s="8"/>
      <c r="CP96" s="8"/>
      <c r="CQ96" s="11" t="s">
        <v>184</v>
      </c>
      <c r="CR96" s="8"/>
      <c r="CS96" s="8"/>
      <c r="CT96" s="8"/>
      <c r="CU96" s="34">
        <f t="shared" si="50"/>
        <v>10340</v>
      </c>
      <c r="CV96" s="34">
        <f t="shared" si="51"/>
        <v>7940</v>
      </c>
      <c r="CW96" s="34">
        <f t="shared" si="52"/>
        <v>3330</v>
      </c>
      <c r="CX96" s="34">
        <f t="shared" si="53"/>
        <v>1930</v>
      </c>
      <c r="CY96" s="34">
        <f t="shared" si="54"/>
        <v>380</v>
      </c>
      <c r="CZ96" s="34">
        <f t="shared" si="55"/>
        <v>90</v>
      </c>
      <c r="DA96" s="5"/>
      <c r="DB96" s="5"/>
      <c r="DC96" s="12"/>
      <c r="DD96" s="5"/>
      <c r="DE96" s="5"/>
      <c r="DF96" s="5"/>
      <c r="DG96" s="5"/>
      <c r="DH96" s="5"/>
      <c r="DI96" s="5"/>
      <c r="DJ96" s="5"/>
      <c r="DK96" s="5"/>
      <c r="DL96" s="71" t="e">
        <f t="shared" si="56"/>
        <v>#REF!</v>
      </c>
      <c r="DM96" s="71" t="e">
        <f t="shared" si="56"/>
        <v>#REF!</v>
      </c>
      <c r="DN96" s="71" t="e">
        <f t="shared" si="56"/>
        <v>#REF!</v>
      </c>
      <c r="DO96" s="71" t="e">
        <f t="shared" si="56"/>
        <v>#REF!</v>
      </c>
      <c r="DP96" s="71" t="e">
        <f t="shared" si="56"/>
        <v>#REF!</v>
      </c>
      <c r="DQ96" s="5"/>
      <c r="DR96" s="5"/>
      <c r="DS96" s="5"/>
      <c r="DT96" s="5"/>
      <c r="DU96" s="71" t="e">
        <f t="shared" si="57"/>
        <v>#REF!</v>
      </c>
      <c r="DV96" s="71" t="e">
        <f t="shared" si="57"/>
        <v>#REF!</v>
      </c>
      <c r="DW96" s="71" t="e">
        <f t="shared" si="57"/>
        <v>#REF!</v>
      </c>
      <c r="DX96" s="71" t="e">
        <f t="shared" si="57"/>
        <v>#REF!</v>
      </c>
      <c r="DY96" s="71" t="e">
        <f t="shared" si="57"/>
        <v>#REF!</v>
      </c>
      <c r="DZ96" s="5"/>
      <c r="EA96" s="5"/>
      <c r="EB96" s="5"/>
      <c r="EC96" s="5"/>
      <c r="ED96" s="71" t="e">
        <f t="shared" si="58"/>
        <v>#REF!</v>
      </c>
      <c r="EE96" s="71" t="e">
        <f t="shared" si="58"/>
        <v>#REF!</v>
      </c>
      <c r="EF96" s="71" t="e">
        <f t="shared" si="58"/>
        <v>#REF!</v>
      </c>
      <c r="EG96" s="71" t="e">
        <f t="shared" si="58"/>
        <v>#REF!</v>
      </c>
      <c r="EH96" s="71" t="e">
        <f t="shared" si="58"/>
        <v>#REF!</v>
      </c>
      <c r="EI96" s="5"/>
      <c r="EJ96" s="5"/>
      <c r="EK96" s="5"/>
      <c r="EL96" s="5"/>
      <c r="EU96" s="34">
        <v>315</v>
      </c>
      <c r="EV96" s="34">
        <v>503</v>
      </c>
      <c r="EW96" s="34"/>
      <c r="EX96" s="34">
        <v>411</v>
      </c>
      <c r="EY96" s="34">
        <v>792</v>
      </c>
      <c r="EZ96" s="34">
        <v>568</v>
      </c>
      <c r="FA96" s="34">
        <v>1057</v>
      </c>
      <c r="FB96" s="34">
        <f>SUM(EU96:FA96)</f>
        <v>3646</v>
      </c>
      <c r="FC96" s="11" t="s">
        <v>211</v>
      </c>
      <c r="FD96" s="8"/>
      <c r="FE96" s="11" t="s">
        <v>214</v>
      </c>
      <c r="FF96" s="8"/>
      <c r="FG96" s="8"/>
      <c r="FH96" s="8"/>
      <c r="FI96" s="8"/>
      <c r="FJ96" s="8">
        <f>FB96</f>
        <v>3646</v>
      </c>
      <c r="FK96" s="8">
        <f>FA96</f>
        <v>1057</v>
      </c>
      <c r="FL96" s="8">
        <f>EZ96</f>
        <v>568</v>
      </c>
      <c r="FM96" s="8">
        <f>EY96</f>
        <v>792</v>
      </c>
      <c r="FN96" s="8">
        <f>EX96</f>
        <v>411</v>
      </c>
      <c r="FO96" s="11" t="s">
        <v>124</v>
      </c>
      <c r="FP96" s="8">
        <f>EV96</f>
        <v>503</v>
      </c>
      <c r="FQ96" s="8">
        <f>EU96</f>
        <v>315</v>
      </c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</row>
    <row r="97" spans="1:249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34" t="s">
        <v>124</v>
      </c>
      <c r="CI97" s="34">
        <v>550</v>
      </c>
      <c r="CJ97" s="34">
        <v>220</v>
      </c>
      <c r="CK97" s="11" t="s">
        <v>124</v>
      </c>
      <c r="CL97" s="34" t="s">
        <v>124</v>
      </c>
      <c r="CM97" s="8">
        <f t="shared" si="49"/>
        <v>770</v>
      </c>
      <c r="CN97" s="11" t="s">
        <v>187</v>
      </c>
      <c r="CO97" s="8"/>
      <c r="CP97" s="8"/>
      <c r="CQ97" s="11" t="s">
        <v>188</v>
      </c>
      <c r="CR97" s="8"/>
      <c r="CS97" s="8"/>
      <c r="CT97" s="8"/>
      <c r="CU97" s="34">
        <f t="shared" si="50"/>
        <v>770</v>
      </c>
      <c r="CV97" s="34" t="str">
        <f t="shared" si="51"/>
        <v>-</v>
      </c>
      <c r="CW97" s="34" t="str">
        <f t="shared" si="52"/>
        <v>-</v>
      </c>
      <c r="CX97" s="34">
        <f t="shared" si="53"/>
        <v>220</v>
      </c>
      <c r="CY97" s="34">
        <f t="shared" si="54"/>
        <v>550</v>
      </c>
      <c r="CZ97" s="34" t="str">
        <f t="shared" si="55"/>
        <v>-</v>
      </c>
      <c r="DA97" s="5"/>
      <c r="DB97" s="5"/>
      <c r="DC97" s="12"/>
      <c r="DD97" s="5"/>
      <c r="DE97" s="5"/>
      <c r="DF97" s="5"/>
      <c r="DG97" s="5"/>
      <c r="DH97" s="5"/>
      <c r="DI97" s="5"/>
      <c r="DJ97" s="5"/>
      <c r="DK97" s="5"/>
      <c r="DL97" s="71" t="e">
        <f t="shared" si="56"/>
        <v>#REF!</v>
      </c>
      <c r="DM97" s="71" t="e">
        <f t="shared" si="56"/>
        <v>#REF!</v>
      </c>
      <c r="DN97" s="71" t="e">
        <f t="shared" si="56"/>
        <v>#REF!</v>
      </c>
      <c r="DO97" s="71" t="e">
        <f t="shared" si="56"/>
        <v>#REF!</v>
      </c>
      <c r="DP97" s="71" t="e">
        <f t="shared" si="56"/>
        <v>#REF!</v>
      </c>
      <c r="DQ97" s="5"/>
      <c r="DR97" s="5"/>
      <c r="DS97" s="5"/>
      <c r="DT97" s="5"/>
      <c r="DU97" s="71" t="e">
        <f t="shared" si="57"/>
        <v>#REF!</v>
      </c>
      <c r="DV97" s="71" t="e">
        <f t="shared" si="57"/>
        <v>#REF!</v>
      </c>
      <c r="DW97" s="71" t="e">
        <f t="shared" si="57"/>
        <v>#REF!</v>
      </c>
      <c r="DX97" s="71" t="e">
        <f t="shared" si="57"/>
        <v>#REF!</v>
      </c>
      <c r="DY97" s="71" t="e">
        <f t="shared" si="57"/>
        <v>#REF!</v>
      </c>
      <c r="DZ97" s="5"/>
      <c r="EA97" s="5"/>
      <c r="EB97" s="5"/>
      <c r="EC97" s="5"/>
      <c r="ED97" s="71" t="e">
        <f t="shared" si="58"/>
        <v>#REF!</v>
      </c>
      <c r="EE97" s="71" t="e">
        <f t="shared" si="58"/>
        <v>#REF!</v>
      </c>
      <c r="EF97" s="71" t="e">
        <f t="shared" si="58"/>
        <v>#REF!</v>
      </c>
      <c r="EG97" s="71" t="e">
        <f t="shared" si="58"/>
        <v>#REF!</v>
      </c>
      <c r="EH97" s="71" t="e">
        <f t="shared" si="58"/>
        <v>#REF!</v>
      </c>
      <c r="EI97" s="5"/>
      <c r="EJ97" s="5"/>
      <c r="EK97" s="5"/>
      <c r="EL97" s="5"/>
      <c r="EU97" s="34">
        <v>342</v>
      </c>
      <c r="EV97" s="34">
        <v>419</v>
      </c>
      <c r="EW97" s="34">
        <v>159</v>
      </c>
      <c r="EX97" s="34">
        <v>512</v>
      </c>
      <c r="EY97" s="34">
        <v>1403</v>
      </c>
      <c r="EZ97" s="34">
        <v>193</v>
      </c>
      <c r="FA97" s="34">
        <v>1250</v>
      </c>
      <c r="FB97" s="34">
        <f>SUM(EU97:FA97)</f>
        <v>4278</v>
      </c>
      <c r="FC97" s="11" t="s">
        <v>213</v>
      </c>
      <c r="FD97" s="8"/>
      <c r="FE97" s="11" t="s">
        <v>215</v>
      </c>
      <c r="FF97" s="8"/>
      <c r="FG97" s="8"/>
      <c r="FH97" s="8"/>
      <c r="FI97" s="8"/>
      <c r="FJ97" s="8">
        <f>FB97</f>
        <v>4278</v>
      </c>
      <c r="FK97" s="8">
        <f>FA97</f>
        <v>1250</v>
      </c>
      <c r="FL97" s="8">
        <f>EZ97</f>
        <v>193</v>
      </c>
      <c r="FM97" s="8">
        <f>EY97</f>
        <v>1403</v>
      </c>
      <c r="FN97" s="8">
        <f>EX97</f>
        <v>512</v>
      </c>
      <c r="FO97" s="8">
        <f>EW97</f>
        <v>159</v>
      </c>
      <c r="FP97" s="8">
        <f>EV97</f>
        <v>419</v>
      </c>
      <c r="FQ97" s="8">
        <f>EU97</f>
        <v>342</v>
      </c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</row>
    <row r="98" spans="1:249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18"/>
      <c r="CV98" s="18"/>
      <c r="CW98" s="18"/>
      <c r="CX98" s="18"/>
      <c r="CY98" s="18"/>
      <c r="CZ98" s="18"/>
      <c r="DA98" s="5"/>
      <c r="DB98" s="5"/>
      <c r="DC98" s="12"/>
      <c r="DD98" s="5"/>
      <c r="DE98" s="5"/>
      <c r="DF98" s="5"/>
      <c r="DG98" s="5"/>
      <c r="DH98" s="5"/>
      <c r="DI98" s="5"/>
      <c r="DJ98" s="5"/>
      <c r="DK98" s="5"/>
      <c r="DL98" s="71" t="e">
        <f t="shared" si="56"/>
        <v>#REF!</v>
      </c>
      <c r="DM98" s="71" t="e">
        <f t="shared" si="56"/>
        <v>#REF!</v>
      </c>
      <c r="DN98" s="71" t="e">
        <f t="shared" si="56"/>
        <v>#REF!</v>
      </c>
      <c r="DO98" s="71" t="e">
        <f t="shared" si="56"/>
        <v>#REF!</v>
      </c>
      <c r="DP98" s="71" t="e">
        <f t="shared" si="56"/>
        <v>#REF!</v>
      </c>
      <c r="DQ98" s="5"/>
      <c r="DR98" s="5"/>
      <c r="DS98" s="5"/>
      <c r="DT98" s="5"/>
      <c r="DU98" s="71" t="e">
        <f t="shared" si="57"/>
        <v>#REF!</v>
      </c>
      <c r="DV98" s="71" t="e">
        <f t="shared" si="57"/>
        <v>#REF!</v>
      </c>
      <c r="DW98" s="71" t="e">
        <f t="shared" si="57"/>
        <v>#REF!</v>
      </c>
      <c r="DX98" s="71" t="e">
        <f t="shared" si="57"/>
        <v>#REF!</v>
      </c>
      <c r="DY98" s="71" t="e">
        <f t="shared" si="57"/>
        <v>#REF!</v>
      </c>
      <c r="DZ98" s="5"/>
      <c r="EA98" s="5"/>
      <c r="EB98" s="5"/>
      <c r="EC98" s="5"/>
      <c r="ED98" s="71" t="e">
        <f t="shared" si="58"/>
        <v>#REF!</v>
      </c>
      <c r="EE98" s="71" t="e">
        <f t="shared" si="58"/>
        <v>#REF!</v>
      </c>
      <c r="EF98" s="71" t="e">
        <f t="shared" si="58"/>
        <v>#REF!</v>
      </c>
      <c r="EG98" s="71" t="e">
        <f t="shared" si="58"/>
        <v>#REF!</v>
      </c>
      <c r="EH98" s="71" t="e">
        <f t="shared" si="58"/>
        <v>#REF!</v>
      </c>
      <c r="EI98" s="5"/>
      <c r="EJ98" s="5"/>
      <c r="EK98" s="5"/>
      <c r="EL98" s="5"/>
      <c r="EU98" s="34"/>
      <c r="EV98" s="34"/>
      <c r="EW98" s="34"/>
      <c r="EX98" s="34"/>
      <c r="EY98" s="34"/>
      <c r="EZ98" s="34"/>
      <c r="FA98" s="34"/>
      <c r="FB98" s="34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</row>
    <row r="99" spans="1:249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6" t="s">
        <v>250</v>
      </c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18"/>
      <c r="CV99" s="18"/>
      <c r="CW99" s="138" t="s">
        <v>251</v>
      </c>
      <c r="CX99" s="18"/>
      <c r="CY99" s="18"/>
      <c r="CZ99" s="18"/>
      <c r="DA99" s="5"/>
      <c r="DB99" s="5"/>
      <c r="DC99" s="12"/>
      <c r="DD99" s="5"/>
      <c r="DE99" s="5"/>
      <c r="DF99" s="5"/>
      <c r="DG99" s="5"/>
      <c r="DH99" s="5"/>
      <c r="DI99" s="5"/>
      <c r="DJ99" s="5"/>
      <c r="DK99" s="5"/>
      <c r="DL99" s="71"/>
      <c r="DM99" s="71"/>
      <c r="DN99" s="71"/>
      <c r="DO99" s="71"/>
      <c r="DP99" s="71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U99" s="34" t="s">
        <v>124</v>
      </c>
      <c r="EV99" s="34" t="s">
        <v>124</v>
      </c>
      <c r="EW99" s="34" t="s">
        <v>124</v>
      </c>
      <c r="EX99" s="34" t="s">
        <v>124</v>
      </c>
      <c r="EY99" s="34" t="s">
        <v>124</v>
      </c>
      <c r="EZ99" s="34" t="s">
        <v>124</v>
      </c>
      <c r="FA99" s="34">
        <v>1479</v>
      </c>
      <c r="FB99" s="34">
        <f>SUM(EU99:FA99)</f>
        <v>1479</v>
      </c>
      <c r="FC99" s="11" t="s">
        <v>217</v>
      </c>
      <c r="FD99" s="8"/>
      <c r="FE99" s="11" t="s">
        <v>181</v>
      </c>
      <c r="FF99" s="8"/>
      <c r="FG99" s="8"/>
      <c r="FH99" s="8"/>
      <c r="FI99" s="8"/>
      <c r="FJ99" s="8">
        <f>FB99</f>
        <v>1479</v>
      </c>
      <c r="FK99" s="8">
        <f>FA99</f>
        <v>1479</v>
      </c>
      <c r="FL99" s="11" t="s">
        <v>124</v>
      </c>
      <c r="FM99" s="11" t="s">
        <v>124</v>
      </c>
      <c r="FN99" s="11" t="s">
        <v>124</v>
      </c>
      <c r="FO99" s="11" t="s">
        <v>124</v>
      </c>
      <c r="FP99" s="11" t="s">
        <v>124</v>
      </c>
      <c r="FQ99" s="11" t="s">
        <v>124</v>
      </c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</row>
    <row r="100" spans="1:249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71">
        <f t="shared" ref="CH100:CH106" si="60">CH90/CM90*100</f>
        <v>1.5629820051413883</v>
      </c>
      <c r="CI100" s="71">
        <f t="shared" ref="CI100:CI107" si="61">CI90/CM90*100</f>
        <v>5.5835475578406175</v>
      </c>
      <c r="CJ100" s="71">
        <f t="shared" ref="CJ100:CJ107" si="62">CJ90/CM90*100</f>
        <v>24.215938303341904</v>
      </c>
      <c r="CK100" s="71">
        <f t="shared" ref="CK100:CK106" si="63">CK90/CM90*100</f>
        <v>22.580976863753214</v>
      </c>
      <c r="CL100" s="71">
        <f t="shared" ref="CL100:CL106" si="64">CL90/CM90*100</f>
        <v>68.637532133676089</v>
      </c>
      <c r="CM100" s="71">
        <f t="shared" ref="CM100:CM107" si="65">CL100+CJ100+CI100+CH100</f>
        <v>100</v>
      </c>
      <c r="CN100" s="72" t="s">
        <v>72</v>
      </c>
      <c r="CO100" s="71"/>
      <c r="CP100" s="71"/>
      <c r="CQ100" s="72" t="s">
        <v>75</v>
      </c>
      <c r="CR100" s="71"/>
      <c r="CS100" s="71"/>
      <c r="CT100" s="71"/>
      <c r="CU100" s="138">
        <f t="shared" ref="CU100:CU107" si="66">CM100</f>
        <v>100</v>
      </c>
      <c r="CV100" s="138">
        <f t="shared" ref="CV100:CV107" si="67">CL100</f>
        <v>68.637532133676089</v>
      </c>
      <c r="CW100" s="138">
        <f t="shared" ref="CW100:CW107" si="68">CK100</f>
        <v>22.580976863753214</v>
      </c>
      <c r="CX100" s="138">
        <f t="shared" ref="CX100:CX107" si="69">CJ100</f>
        <v>24.215938303341904</v>
      </c>
      <c r="CY100" s="138">
        <f t="shared" ref="CY100:CY107" si="70">CI100</f>
        <v>5.5835475578406175</v>
      </c>
      <c r="CZ100" s="138">
        <f t="shared" ref="CZ100:CZ107" si="71">CH100</f>
        <v>1.5629820051413883</v>
      </c>
      <c r="DA100" s="5"/>
      <c r="DB100" s="5"/>
      <c r="DC100" s="145"/>
      <c r="DD100" s="138"/>
      <c r="DE100" s="138"/>
      <c r="DF100" s="138"/>
      <c r="DG100" s="138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 t="s">
        <v>264</v>
      </c>
      <c r="DU100" s="5"/>
      <c r="DV100" s="5"/>
      <c r="DW100" s="5"/>
      <c r="DX100" s="5"/>
      <c r="DY100" s="5"/>
      <c r="DZ100" s="5"/>
      <c r="EA100" s="5"/>
      <c r="EB100" s="5"/>
      <c r="EC100" s="5"/>
      <c r="ED100" s="6" t="s">
        <v>265</v>
      </c>
      <c r="EE100" s="5"/>
      <c r="EF100" s="5"/>
      <c r="EG100" s="5"/>
      <c r="EH100" s="5"/>
      <c r="EI100" s="5"/>
      <c r="EJ100" s="5"/>
      <c r="EK100" s="5"/>
      <c r="EL100" s="5"/>
      <c r="EU100" s="34"/>
      <c r="EV100" s="34"/>
      <c r="EW100" s="34"/>
      <c r="EX100" s="34"/>
      <c r="EY100" s="34"/>
      <c r="EZ100" s="5"/>
      <c r="FA100" s="34"/>
      <c r="FB100" s="34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5"/>
      <c r="FS100" s="5"/>
      <c r="FT100" s="5"/>
      <c r="FU100" s="5"/>
      <c r="FV100" s="5"/>
      <c r="FW100" s="5"/>
      <c r="FX100" s="5"/>
      <c r="FY100" s="5"/>
      <c r="FZ100" s="6" t="s">
        <v>225</v>
      </c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</row>
    <row r="101" spans="1:249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71">
        <f t="shared" si="60"/>
        <v>1.2315270935960592</v>
      </c>
      <c r="CI101" s="71">
        <f t="shared" si="61"/>
        <v>9.6059113300492598</v>
      </c>
      <c r="CJ101" s="71">
        <f t="shared" si="62"/>
        <v>29.211822660098523</v>
      </c>
      <c r="CK101" s="71">
        <f t="shared" si="63"/>
        <v>19.704433497536947</v>
      </c>
      <c r="CL101" s="71">
        <f t="shared" si="64"/>
        <v>59.950738916256149</v>
      </c>
      <c r="CM101" s="71">
        <f t="shared" si="65"/>
        <v>99.999999999999986</v>
      </c>
      <c r="CN101" s="72" t="s">
        <v>144</v>
      </c>
      <c r="CO101" s="71"/>
      <c r="CP101" s="71"/>
      <c r="CQ101" s="72" t="s">
        <v>145</v>
      </c>
      <c r="CR101" s="71"/>
      <c r="CS101" s="71"/>
      <c r="CT101" s="71"/>
      <c r="CU101" s="138">
        <f t="shared" si="66"/>
        <v>99.999999999999986</v>
      </c>
      <c r="CV101" s="138">
        <f t="shared" si="67"/>
        <v>59.950738916256149</v>
      </c>
      <c r="CW101" s="138">
        <f t="shared" si="68"/>
        <v>19.704433497536947</v>
      </c>
      <c r="CX101" s="138">
        <f t="shared" si="69"/>
        <v>29.211822660098523</v>
      </c>
      <c r="CY101" s="138">
        <f t="shared" si="70"/>
        <v>9.6059113300492598</v>
      </c>
      <c r="CZ101" s="138">
        <f t="shared" si="71"/>
        <v>1.2315270935960592</v>
      </c>
      <c r="DA101" s="5"/>
      <c r="DB101" s="5"/>
      <c r="DC101" s="12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 t="s">
        <v>266</v>
      </c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6" t="s">
        <v>186</v>
      </c>
      <c r="EF101" s="6" t="s">
        <v>86</v>
      </c>
      <c r="EG101" s="6" t="s">
        <v>85</v>
      </c>
      <c r="EH101" s="5"/>
      <c r="EI101" s="5"/>
      <c r="EJ101" s="5"/>
      <c r="EK101" s="5"/>
      <c r="EL101" s="5"/>
      <c r="EU101" s="34" t="s">
        <v>124</v>
      </c>
      <c r="EV101" s="34">
        <v>3168</v>
      </c>
      <c r="EW101" s="34" t="s">
        <v>124</v>
      </c>
      <c r="EX101" s="34" t="s">
        <v>124</v>
      </c>
      <c r="EY101" s="34">
        <v>1716</v>
      </c>
      <c r="EZ101" s="34">
        <v>6943</v>
      </c>
      <c r="FA101" s="34" t="s">
        <v>124</v>
      </c>
      <c r="FB101" s="34">
        <f>SUM(EU101:FA101)</f>
        <v>11827</v>
      </c>
      <c r="FC101" s="11" t="s">
        <v>216</v>
      </c>
      <c r="FD101" s="8"/>
      <c r="FE101" s="11" t="s">
        <v>208</v>
      </c>
      <c r="FF101" s="8"/>
      <c r="FG101" s="8"/>
      <c r="FH101" s="8"/>
      <c r="FI101" s="8"/>
      <c r="FJ101" s="8">
        <f>FB101</f>
        <v>11827</v>
      </c>
      <c r="FK101" s="11" t="s">
        <v>124</v>
      </c>
      <c r="FL101" s="8">
        <f>EZ101</f>
        <v>6943</v>
      </c>
      <c r="FM101" s="8">
        <f>EY101</f>
        <v>1716</v>
      </c>
      <c r="FN101" s="11" t="s">
        <v>124</v>
      </c>
      <c r="FO101" s="11" t="s">
        <v>124</v>
      </c>
      <c r="FP101" s="8">
        <f>EV101</f>
        <v>3168</v>
      </c>
      <c r="FQ101" s="11" t="s">
        <v>124</v>
      </c>
      <c r="FR101" s="5"/>
      <c r="FS101" s="5"/>
      <c r="FT101" s="5"/>
      <c r="FU101" s="5"/>
      <c r="FV101" s="5"/>
      <c r="FW101" s="5"/>
      <c r="FX101" s="5"/>
      <c r="FY101" s="6" t="s">
        <v>14</v>
      </c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</row>
    <row r="102" spans="1:249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71">
        <f t="shared" si="60"/>
        <v>0.47709923664122139</v>
      </c>
      <c r="CI102" s="71">
        <f t="shared" si="61"/>
        <v>6.2022900763358777</v>
      </c>
      <c r="CJ102" s="71">
        <f t="shared" si="62"/>
        <v>21.374045801526716</v>
      </c>
      <c r="CK102" s="71">
        <f t="shared" si="63"/>
        <v>16.698473282442748</v>
      </c>
      <c r="CL102" s="71">
        <f t="shared" si="64"/>
        <v>71.946564885496173</v>
      </c>
      <c r="CM102" s="71">
        <f t="shared" si="65"/>
        <v>99.999999999999986</v>
      </c>
      <c r="CN102" s="72" t="s">
        <v>70</v>
      </c>
      <c r="CO102" s="71"/>
      <c r="CP102" s="71"/>
      <c r="CQ102" s="72" t="s">
        <v>77</v>
      </c>
      <c r="CR102" s="71"/>
      <c r="CS102" s="71"/>
      <c r="CT102" s="71"/>
      <c r="CU102" s="138">
        <f t="shared" si="66"/>
        <v>99.999999999999986</v>
      </c>
      <c r="CV102" s="138">
        <f t="shared" si="67"/>
        <v>71.946564885496173</v>
      </c>
      <c r="CW102" s="138">
        <f t="shared" si="68"/>
        <v>16.698473282442748</v>
      </c>
      <c r="CX102" s="138">
        <f t="shared" si="69"/>
        <v>21.374045801526716</v>
      </c>
      <c r="CY102" s="138">
        <f t="shared" si="70"/>
        <v>6.2022900763358777</v>
      </c>
      <c r="CZ102" s="138">
        <f t="shared" si="71"/>
        <v>0.47709923664122139</v>
      </c>
      <c r="DA102" s="5"/>
      <c r="DB102" s="5"/>
      <c r="DC102" s="12"/>
      <c r="DD102" s="5"/>
      <c r="DE102" s="5"/>
      <c r="DF102" s="5"/>
      <c r="DG102" s="5"/>
      <c r="DH102" s="5"/>
      <c r="DI102" s="5"/>
      <c r="DJ102" s="6" t="s">
        <v>267</v>
      </c>
      <c r="DK102" s="5"/>
      <c r="DL102" s="5"/>
      <c r="DM102" s="5"/>
      <c r="DN102" s="5"/>
      <c r="DO102" s="5"/>
      <c r="DP102" s="5"/>
      <c r="DQ102" s="5"/>
      <c r="DR102" s="5"/>
      <c r="DS102" s="6" t="s">
        <v>268</v>
      </c>
      <c r="DT102" s="5"/>
      <c r="DU102" s="6" t="s">
        <v>269</v>
      </c>
      <c r="DV102" s="5"/>
      <c r="DW102" s="5"/>
      <c r="DX102" s="5"/>
      <c r="DY102" s="5"/>
      <c r="DZ102" s="5"/>
      <c r="EA102" s="5"/>
      <c r="EB102" s="5"/>
      <c r="EC102" s="5"/>
      <c r="ED102" s="5"/>
      <c r="EE102" s="73" t="e">
        <f>EB84</f>
        <v>#REF!</v>
      </c>
      <c r="EF102" s="73" t="e">
        <f>EF92</f>
        <v>#REF!</v>
      </c>
      <c r="EG102" s="73" t="e">
        <f>EE92</f>
        <v>#REF!</v>
      </c>
      <c r="EH102" s="6" t="s">
        <v>270</v>
      </c>
      <c r="EI102" s="5"/>
      <c r="EJ102" s="5"/>
      <c r="EK102" s="5"/>
      <c r="EL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6" t="s">
        <v>36</v>
      </c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6" t="s">
        <v>13</v>
      </c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</row>
    <row r="103" spans="1:249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71">
        <f t="shared" si="60"/>
        <v>1.4598540145985401</v>
      </c>
      <c r="CI103" s="71">
        <f t="shared" si="61"/>
        <v>4.4563964656165957</v>
      </c>
      <c r="CJ103" s="71">
        <f t="shared" si="62"/>
        <v>29.965424510180561</v>
      </c>
      <c r="CK103" s="71">
        <f t="shared" si="63"/>
        <v>17.710334229734922</v>
      </c>
      <c r="CL103" s="71">
        <f t="shared" si="64"/>
        <v>64.118325009604305</v>
      </c>
      <c r="CM103" s="71">
        <f t="shared" si="65"/>
        <v>100</v>
      </c>
      <c r="CN103" s="72" t="s">
        <v>175</v>
      </c>
      <c r="CO103" s="71"/>
      <c r="CP103" s="71"/>
      <c r="CQ103" s="72" t="s">
        <v>176</v>
      </c>
      <c r="CR103" s="71"/>
      <c r="CS103" s="71"/>
      <c r="CT103" s="71"/>
      <c r="CU103" s="138">
        <f t="shared" si="66"/>
        <v>100</v>
      </c>
      <c r="CV103" s="138">
        <f t="shared" si="67"/>
        <v>64.118325009604305</v>
      </c>
      <c r="CW103" s="138">
        <f t="shared" si="68"/>
        <v>17.710334229734922</v>
      </c>
      <c r="CX103" s="138">
        <f t="shared" si="69"/>
        <v>29.965424510180561</v>
      </c>
      <c r="CY103" s="138">
        <f t="shared" si="70"/>
        <v>4.4563964656165957</v>
      </c>
      <c r="CZ103" s="138">
        <f t="shared" si="71"/>
        <v>1.4598540145985401</v>
      </c>
      <c r="DA103" s="5"/>
      <c r="DB103" s="5"/>
      <c r="DC103" s="12"/>
      <c r="DD103" s="5"/>
      <c r="DE103" s="5"/>
      <c r="DF103" s="5"/>
      <c r="DG103" s="5"/>
      <c r="DH103" s="5"/>
      <c r="DI103" s="5"/>
      <c r="DJ103" s="6" t="s">
        <v>271</v>
      </c>
      <c r="DK103" s="5"/>
      <c r="DL103" s="5"/>
      <c r="DM103" s="5"/>
      <c r="DN103" s="5"/>
      <c r="DO103" s="5"/>
      <c r="DP103" s="5"/>
      <c r="DQ103" s="5"/>
      <c r="DR103" s="5"/>
      <c r="DS103" s="6" t="s">
        <v>272</v>
      </c>
      <c r="DT103" s="6" t="s">
        <v>185</v>
      </c>
      <c r="DU103" s="6" t="s">
        <v>273</v>
      </c>
      <c r="DV103" s="6" t="s">
        <v>274</v>
      </c>
      <c r="DW103" s="6" t="s">
        <v>275</v>
      </c>
      <c r="DX103" s="5"/>
      <c r="DY103" s="5"/>
      <c r="DZ103" s="5"/>
      <c r="EA103" s="5"/>
      <c r="EB103" s="5"/>
      <c r="EC103" s="5"/>
      <c r="ED103" s="5"/>
      <c r="EE103" s="73" t="e">
        <f>EB85</f>
        <v>#REF!</v>
      </c>
      <c r="EF103" s="73" t="e">
        <f>EF93</f>
        <v>#REF!</v>
      </c>
      <c r="EG103" s="73" t="e">
        <f>EE93</f>
        <v>#REF!</v>
      </c>
      <c r="EH103" s="6" t="s">
        <v>276</v>
      </c>
      <c r="EI103" s="5"/>
      <c r="EJ103" s="5"/>
      <c r="EK103" s="5"/>
      <c r="EL103" s="5"/>
      <c r="EU103" s="5"/>
      <c r="EV103" s="5"/>
      <c r="EW103" s="5"/>
      <c r="EX103" s="18"/>
      <c r="EY103" s="5"/>
      <c r="EZ103" s="6" t="s">
        <v>231</v>
      </c>
      <c r="FA103" s="5"/>
      <c r="FB103" s="5"/>
      <c r="FC103" s="5"/>
      <c r="FD103" s="5"/>
      <c r="FE103" s="6" t="s">
        <v>221</v>
      </c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6" t="s">
        <v>15</v>
      </c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6" t="s">
        <v>227</v>
      </c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</row>
    <row r="104" spans="1:249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71">
        <f t="shared" si="60"/>
        <v>3.315571343990527</v>
      </c>
      <c r="CI104" s="71">
        <f t="shared" si="61"/>
        <v>3.6116044997039665</v>
      </c>
      <c r="CJ104" s="71">
        <f t="shared" si="62"/>
        <v>18.413262285375961</v>
      </c>
      <c r="CK104" s="71">
        <f t="shared" si="63"/>
        <v>26.87981053878034</v>
      </c>
      <c r="CL104" s="71">
        <f t="shared" si="64"/>
        <v>74.659561870929551</v>
      </c>
      <c r="CM104" s="71">
        <f t="shared" si="65"/>
        <v>100.00000000000001</v>
      </c>
      <c r="CN104" s="72" t="s">
        <v>177</v>
      </c>
      <c r="CO104" s="71"/>
      <c r="CP104" s="71"/>
      <c r="CQ104" s="72" t="s">
        <v>178</v>
      </c>
      <c r="CR104" s="71"/>
      <c r="CS104" s="71"/>
      <c r="CT104" s="71"/>
      <c r="CU104" s="138">
        <f t="shared" si="66"/>
        <v>100.00000000000001</v>
      </c>
      <c r="CV104" s="138">
        <f t="shared" si="67"/>
        <v>74.659561870929551</v>
      </c>
      <c r="CW104" s="138">
        <f t="shared" si="68"/>
        <v>26.87981053878034</v>
      </c>
      <c r="CX104" s="138">
        <f t="shared" si="69"/>
        <v>18.413262285375961</v>
      </c>
      <c r="CY104" s="138">
        <f t="shared" si="70"/>
        <v>3.6116044997039665</v>
      </c>
      <c r="CZ104" s="138">
        <f t="shared" si="71"/>
        <v>3.315571343990527</v>
      </c>
      <c r="DA104" s="5"/>
      <c r="DB104" s="5"/>
      <c r="DC104" s="12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10" t="e">
        <f>(SUM(DP112:DP115)-#REF!+'[2]T308-317'!GG16)/DV104/10</f>
        <v>#REF!</v>
      </c>
      <c r="DT104" s="10" t="e">
        <f>#REF!/DV104/10</f>
        <v>#REF!</v>
      </c>
      <c r="DU104" s="10" t="e">
        <f>(SUM(DP108:DP111)+'[2]T308-317'!GH16-'[2]T308-317'!GG16)/DV104/10</f>
        <v>#REF!</v>
      </c>
      <c r="DV104" s="73">
        <f>DW104+324.8</f>
        <v>671.3</v>
      </c>
      <c r="DW104" s="73">
        <v>346.5</v>
      </c>
      <c r="DX104" s="73">
        <v>1986</v>
      </c>
      <c r="DY104" s="11" t="s">
        <v>44</v>
      </c>
      <c r="DZ104" s="6" t="s">
        <v>277</v>
      </c>
      <c r="EA104" s="5"/>
      <c r="EB104" s="5"/>
      <c r="EC104" s="5"/>
      <c r="ED104" s="5"/>
      <c r="EE104" s="73" t="e">
        <f>EB86</f>
        <v>#REF!</v>
      </c>
      <c r="EF104" s="73" t="e">
        <f>EF94</f>
        <v>#REF!</v>
      </c>
      <c r="EG104" s="73" t="e">
        <f>EE94</f>
        <v>#REF!</v>
      </c>
      <c r="EH104" s="6" t="s">
        <v>172</v>
      </c>
      <c r="EI104" s="5"/>
      <c r="EJ104" s="5"/>
      <c r="EK104" s="5"/>
      <c r="EL104" s="5"/>
      <c r="EU104" s="5"/>
      <c r="EV104" s="5"/>
      <c r="EW104" s="5"/>
      <c r="EX104" s="6" t="s">
        <v>219</v>
      </c>
      <c r="EY104" s="5"/>
      <c r="EZ104" s="18"/>
      <c r="FA104" s="5"/>
      <c r="FB104" s="5"/>
      <c r="FC104" s="5"/>
      <c r="FD104" s="5"/>
      <c r="FE104" s="6" t="s">
        <v>222</v>
      </c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6" t="s">
        <v>30</v>
      </c>
      <c r="FZ104" s="6" t="s">
        <v>31</v>
      </c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6" t="s">
        <v>115</v>
      </c>
      <c r="GO104" s="5"/>
      <c r="GP104" s="5"/>
      <c r="GQ104" s="17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</row>
    <row r="105" spans="1:249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71">
        <f t="shared" si="60"/>
        <v>1.527331189710611</v>
      </c>
      <c r="CI105" s="71">
        <f t="shared" si="61"/>
        <v>1.045016077170418</v>
      </c>
      <c r="CJ105" s="71">
        <f t="shared" si="62"/>
        <v>18.64951768488746</v>
      </c>
      <c r="CK105" s="71">
        <f t="shared" si="63"/>
        <v>29.983922829581992</v>
      </c>
      <c r="CL105" s="71">
        <f t="shared" si="64"/>
        <v>78.778135048231519</v>
      </c>
      <c r="CM105" s="71">
        <f t="shared" si="65"/>
        <v>100</v>
      </c>
      <c r="CN105" s="72" t="s">
        <v>149</v>
      </c>
      <c r="CO105" s="71"/>
      <c r="CP105" s="71"/>
      <c r="CQ105" s="72" t="s">
        <v>150</v>
      </c>
      <c r="CR105" s="71"/>
      <c r="CS105" s="71"/>
      <c r="CT105" s="71"/>
      <c r="CU105" s="138">
        <f t="shared" si="66"/>
        <v>100</v>
      </c>
      <c r="CV105" s="138">
        <f t="shared" si="67"/>
        <v>78.778135048231519</v>
      </c>
      <c r="CW105" s="138">
        <f t="shared" si="68"/>
        <v>29.983922829581992</v>
      </c>
      <c r="CX105" s="138">
        <f t="shared" si="69"/>
        <v>18.64951768488746</v>
      </c>
      <c r="CY105" s="138">
        <f t="shared" si="70"/>
        <v>1.045016077170418</v>
      </c>
      <c r="CZ105" s="138">
        <f t="shared" si="71"/>
        <v>1.527331189710611</v>
      </c>
      <c r="DA105" s="5"/>
      <c r="DB105" s="5"/>
      <c r="DC105" s="12"/>
      <c r="DD105" s="5"/>
      <c r="DE105" s="5"/>
      <c r="DF105" s="5"/>
      <c r="DG105" s="5"/>
      <c r="DH105" s="5"/>
      <c r="DI105" s="5"/>
      <c r="DJ105" s="18"/>
      <c r="DK105" s="5"/>
      <c r="DL105" s="18"/>
      <c r="DM105" s="18"/>
      <c r="DN105" s="19" t="s">
        <v>186</v>
      </c>
      <c r="DO105" s="18"/>
      <c r="DP105" s="18"/>
      <c r="DQ105" s="18"/>
      <c r="DR105" s="18"/>
      <c r="DS105" s="10" t="e">
        <f>(SUM(DO112:DO115)-#REF!+'[2]T308-317'!GG17)/DV105/10</f>
        <v>#REF!</v>
      </c>
      <c r="DT105" s="10" t="e">
        <f>#REF!/DV105/10</f>
        <v>#REF!</v>
      </c>
      <c r="DU105" s="10" t="e">
        <f>(SUM(DO108:DO111)+'[2]T308-317'!GH17-'[2]T308-317'!GG17)/DV105/10</f>
        <v>#REF!</v>
      </c>
      <c r="DV105" s="73">
        <f>DW105+324.9</f>
        <v>677.8</v>
      </c>
      <c r="DW105" s="73">
        <v>352.9</v>
      </c>
      <c r="DX105" s="73">
        <v>1987</v>
      </c>
      <c r="DY105" s="11" t="s">
        <v>43</v>
      </c>
      <c r="DZ105" s="6" t="s">
        <v>185</v>
      </c>
      <c r="EA105" s="5"/>
      <c r="EB105" s="5"/>
      <c r="EC105" s="5"/>
      <c r="ED105" s="5"/>
      <c r="EE105" s="73" t="e">
        <f>EB87</f>
        <v>#REF!</v>
      </c>
      <c r="EF105" s="73" t="e">
        <f>EF95</f>
        <v>#REF!</v>
      </c>
      <c r="EG105" s="73" t="e">
        <f>EE95</f>
        <v>#REF!</v>
      </c>
      <c r="EH105" s="6" t="s">
        <v>185</v>
      </c>
      <c r="EI105" s="5"/>
      <c r="EJ105" s="5"/>
      <c r="EK105" s="5"/>
      <c r="EL105" s="5"/>
      <c r="EU105" s="5"/>
      <c r="EV105" s="5"/>
      <c r="EW105" s="5"/>
      <c r="EX105" s="5"/>
      <c r="EY105" s="5"/>
      <c r="EZ105" s="19" t="s">
        <v>252</v>
      </c>
      <c r="FA105" s="5"/>
      <c r="FB105" s="5"/>
      <c r="FC105" s="5"/>
      <c r="FD105" s="5"/>
      <c r="FE105" s="6" t="s">
        <v>253</v>
      </c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6" t="s">
        <v>16</v>
      </c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</row>
    <row r="106" spans="1:249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71">
        <f t="shared" si="60"/>
        <v>0.87040618955512572</v>
      </c>
      <c r="CI106" s="71">
        <f t="shared" si="61"/>
        <v>3.67504835589942</v>
      </c>
      <c r="CJ106" s="71">
        <f t="shared" si="62"/>
        <v>18.665377176015475</v>
      </c>
      <c r="CK106" s="71">
        <f t="shared" si="63"/>
        <v>32.205029013539658</v>
      </c>
      <c r="CL106" s="71">
        <f t="shared" si="64"/>
        <v>76.789168278529985</v>
      </c>
      <c r="CM106" s="71">
        <f t="shared" si="65"/>
        <v>100.00000000000001</v>
      </c>
      <c r="CN106" s="72" t="s">
        <v>183</v>
      </c>
      <c r="CO106" s="71"/>
      <c r="CP106" s="71"/>
      <c r="CQ106" s="72" t="s">
        <v>184</v>
      </c>
      <c r="CR106" s="71"/>
      <c r="CS106" s="71"/>
      <c r="CT106" s="71"/>
      <c r="CU106" s="138">
        <f t="shared" si="66"/>
        <v>100.00000000000001</v>
      </c>
      <c r="CV106" s="138">
        <f t="shared" si="67"/>
        <v>76.789168278529985</v>
      </c>
      <c r="CW106" s="138">
        <f t="shared" si="68"/>
        <v>32.205029013539658</v>
      </c>
      <c r="CX106" s="138">
        <f t="shared" si="69"/>
        <v>18.665377176015475</v>
      </c>
      <c r="CY106" s="138">
        <f t="shared" si="70"/>
        <v>3.67504835589942</v>
      </c>
      <c r="CZ106" s="138">
        <f t="shared" si="71"/>
        <v>0.87040618955512572</v>
      </c>
      <c r="DA106" s="5"/>
      <c r="DB106" s="5"/>
      <c r="DC106" s="12"/>
      <c r="DD106" s="5"/>
      <c r="DE106" s="5"/>
      <c r="DF106" s="5"/>
      <c r="DG106" s="6" t="s">
        <v>36</v>
      </c>
      <c r="DH106" s="6" t="s">
        <v>37</v>
      </c>
      <c r="DI106" s="6" t="s">
        <v>161</v>
      </c>
      <c r="DJ106" s="6" t="s">
        <v>39</v>
      </c>
      <c r="DK106" s="19" t="s">
        <v>7</v>
      </c>
      <c r="DL106" s="19" t="s">
        <v>40</v>
      </c>
      <c r="DM106" s="19" t="s">
        <v>41</v>
      </c>
      <c r="DN106" s="19" t="s">
        <v>42</v>
      </c>
      <c r="DO106" s="19" t="s">
        <v>43</v>
      </c>
      <c r="DP106" s="19" t="s">
        <v>44</v>
      </c>
      <c r="DQ106" s="18"/>
      <c r="DR106" s="18"/>
      <c r="DS106" s="10" t="e">
        <f>(SUM(DN112:DN115)-#REF!+'[2]T308-317'!GG18)/DV106/10</f>
        <v>#REF!</v>
      </c>
      <c r="DT106" s="10" t="e">
        <f>#REF!/DV106/10</f>
        <v>#REF!</v>
      </c>
      <c r="DU106" s="10" t="e">
        <f>(SUM(DN108:DN111)+'[2]T308-317'!GH18-'[2]T308-317'!GG18)/DV106/10</f>
        <v>#REF!</v>
      </c>
      <c r="DV106" s="73">
        <f>DW106+326.4</f>
        <v>685.3</v>
      </c>
      <c r="DW106" s="73">
        <v>358.9</v>
      </c>
      <c r="DX106" s="73">
        <v>1988</v>
      </c>
      <c r="DY106" s="19" t="s">
        <v>42</v>
      </c>
      <c r="DZ106" s="6" t="s">
        <v>278</v>
      </c>
      <c r="EA106" s="5"/>
      <c r="EB106" s="5"/>
      <c r="EC106" s="5"/>
      <c r="ED106" s="5"/>
      <c r="EE106" s="73" t="e">
        <f>EB88+EB89</f>
        <v>#REF!</v>
      </c>
      <c r="EF106" s="73" t="e">
        <f>EF96+EF97</f>
        <v>#REF!</v>
      </c>
      <c r="EG106" s="73" t="e">
        <f>EE96+EE97</f>
        <v>#REF!</v>
      </c>
      <c r="EH106" s="6" t="s">
        <v>279</v>
      </c>
      <c r="EI106" s="5"/>
      <c r="EJ106" s="5"/>
      <c r="EK106" s="5"/>
      <c r="EL106" s="5"/>
      <c r="EU106" s="18"/>
      <c r="EV106" s="18"/>
      <c r="EW106" s="18"/>
      <c r="EX106" s="18"/>
      <c r="EY106" s="18"/>
      <c r="EZ106" s="18"/>
      <c r="FA106" s="18"/>
      <c r="FB106" s="18"/>
      <c r="FC106" s="18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6" t="s">
        <v>31</v>
      </c>
      <c r="FX106" s="6" t="s">
        <v>31</v>
      </c>
      <c r="FY106" s="6" t="s">
        <v>32</v>
      </c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17"/>
      <c r="GN106" s="13" t="s">
        <v>22</v>
      </c>
      <c r="GO106" s="17"/>
      <c r="GP106" s="17"/>
      <c r="GQ106" s="17"/>
      <c r="GR106" s="17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</row>
    <row r="107" spans="1:249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72" t="s">
        <v>124</v>
      </c>
      <c r="CI107" s="71">
        <f t="shared" si="61"/>
        <v>71.428571428571431</v>
      </c>
      <c r="CJ107" s="71">
        <f t="shared" si="62"/>
        <v>28.571428571428569</v>
      </c>
      <c r="CK107" s="72" t="s">
        <v>124</v>
      </c>
      <c r="CL107" s="72" t="s">
        <v>124</v>
      </c>
      <c r="CM107" s="71">
        <f t="shared" si="65"/>
        <v>100</v>
      </c>
      <c r="CN107" s="72" t="s">
        <v>187</v>
      </c>
      <c r="CO107" s="71"/>
      <c r="CP107" s="71"/>
      <c r="CQ107" s="72" t="s">
        <v>188</v>
      </c>
      <c r="CR107" s="71"/>
      <c r="CS107" s="71"/>
      <c r="CT107" s="71"/>
      <c r="CU107" s="138">
        <f t="shared" si="66"/>
        <v>100</v>
      </c>
      <c r="CV107" s="138" t="str">
        <f t="shared" si="67"/>
        <v>-</v>
      </c>
      <c r="CW107" s="138" t="str">
        <f t="shared" si="68"/>
        <v>-</v>
      </c>
      <c r="CX107" s="138">
        <f t="shared" si="69"/>
        <v>28.571428571428569</v>
      </c>
      <c r="CY107" s="138">
        <f t="shared" si="70"/>
        <v>71.428571428571431</v>
      </c>
      <c r="CZ107" s="138" t="str">
        <f t="shared" si="71"/>
        <v>-</v>
      </c>
      <c r="DA107" s="5"/>
      <c r="DB107" s="5"/>
      <c r="DC107" s="12"/>
      <c r="DD107" s="5"/>
      <c r="DE107" s="5"/>
      <c r="DF107" s="5"/>
      <c r="DG107" s="19" t="e">
        <f t="shared" ref="DG107:DP107" si="72">SUM(DG108:DG115)</f>
        <v>#REF!</v>
      </c>
      <c r="DH107" s="19" t="e">
        <f t="shared" si="72"/>
        <v>#REF!</v>
      </c>
      <c r="DI107" s="19" t="e">
        <f t="shared" si="72"/>
        <v>#REF!</v>
      </c>
      <c r="DJ107" s="19" t="e">
        <f t="shared" si="72"/>
        <v>#REF!</v>
      </c>
      <c r="DK107" s="19" t="e">
        <f t="shared" si="72"/>
        <v>#REF!</v>
      </c>
      <c r="DL107" s="19" t="e">
        <f t="shared" si="72"/>
        <v>#REF!</v>
      </c>
      <c r="DM107" s="19" t="e">
        <f t="shared" si="72"/>
        <v>#REF!</v>
      </c>
      <c r="DN107" s="19" t="e">
        <f t="shared" si="72"/>
        <v>#REF!</v>
      </c>
      <c r="DO107" s="19" t="e">
        <f t="shared" si="72"/>
        <v>#REF!</v>
      </c>
      <c r="DP107" s="19" t="e">
        <f t="shared" si="72"/>
        <v>#REF!</v>
      </c>
      <c r="DQ107" s="6" t="s">
        <v>72</v>
      </c>
      <c r="DR107" s="18"/>
      <c r="DS107" s="10" t="e">
        <f>(SUM(DM112:DM115)-#REF!+'[2]T308-317'!GG19)/DV107/10</f>
        <v>#REF!</v>
      </c>
      <c r="DT107" s="10" t="e">
        <f>#REF!/DV107/10</f>
        <v>#REF!</v>
      </c>
      <c r="DU107" s="10" t="e">
        <f>(SUM(DM108:DM111)+'[2]T308-317'!GH19-'[2]T308-317'!GG19)/DV107/10</f>
        <v>#REF!</v>
      </c>
      <c r="DV107" s="73">
        <f>DW107+329.9</f>
        <v>695.9</v>
      </c>
      <c r="DW107" s="73">
        <v>366</v>
      </c>
      <c r="DX107" s="73">
        <v>1989</v>
      </c>
      <c r="DY107" s="19" t="s">
        <v>41</v>
      </c>
      <c r="DZ107" s="5"/>
      <c r="EA107" s="5"/>
      <c r="EB107" s="5"/>
      <c r="EC107" s="5"/>
      <c r="ED107" s="5"/>
      <c r="EE107" s="73" t="e">
        <f>EB90</f>
        <v>#REF!</v>
      </c>
      <c r="EF107" s="73" t="e">
        <f>EF98</f>
        <v>#REF!</v>
      </c>
      <c r="EG107" s="73" t="e">
        <f>EE98</f>
        <v>#REF!</v>
      </c>
      <c r="EH107" s="6" t="s">
        <v>242</v>
      </c>
      <c r="EI107" s="5"/>
      <c r="EJ107" s="5"/>
      <c r="EK107" s="5"/>
      <c r="EL107" s="5"/>
      <c r="EU107" s="18"/>
      <c r="EV107" s="18"/>
      <c r="EW107" s="18"/>
      <c r="EX107" s="18"/>
      <c r="EY107" s="18"/>
      <c r="EZ107" s="18"/>
      <c r="FA107" s="18"/>
      <c r="FB107" s="18"/>
      <c r="FC107" s="18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6" t="s">
        <v>84</v>
      </c>
      <c r="FW107" s="6" t="s">
        <v>95</v>
      </c>
      <c r="FX107" s="6" t="s">
        <v>96</v>
      </c>
      <c r="FY107" s="6" t="s">
        <v>97</v>
      </c>
      <c r="FZ107" s="6" t="s">
        <v>72</v>
      </c>
      <c r="GA107" s="6" t="s">
        <v>64</v>
      </c>
      <c r="GB107" s="6" t="s">
        <v>48</v>
      </c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13" t="s">
        <v>60</v>
      </c>
      <c r="GN107" s="17"/>
      <c r="GO107" s="13" t="s">
        <v>33</v>
      </c>
      <c r="GP107" s="13" t="s">
        <v>62</v>
      </c>
      <c r="GQ107" s="17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</row>
    <row r="108" spans="1:249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5"/>
      <c r="CT108" s="5"/>
      <c r="CU108" s="34"/>
      <c r="CV108" s="34"/>
      <c r="CW108" s="34"/>
      <c r="CX108" s="34"/>
      <c r="CY108" s="34"/>
      <c r="CZ108" s="34"/>
      <c r="DA108" s="5"/>
      <c r="DB108" s="5"/>
      <c r="DC108" s="12"/>
      <c r="DD108" s="5"/>
      <c r="DE108" s="5"/>
      <c r="DF108" s="5"/>
      <c r="DG108" s="19" t="e">
        <f>#REF!-DG109</f>
        <v>#REF!</v>
      </c>
      <c r="DH108" s="19" t="e">
        <f>#REF!-DH109</f>
        <v>#REF!</v>
      </c>
      <c r="DI108" s="19" t="e">
        <f>#REF!-DI109</f>
        <v>#REF!</v>
      </c>
      <c r="DJ108" s="19" t="e">
        <f>#REF!-DJ109</f>
        <v>#REF!</v>
      </c>
      <c r="DK108" s="19" t="e">
        <f>#REF!-DK109</f>
        <v>#REF!</v>
      </c>
      <c r="DL108" s="19" t="e">
        <f>#REF!-DL109</f>
        <v>#REF!</v>
      </c>
      <c r="DM108" s="19" t="e">
        <f>#REF!-DM109</f>
        <v>#REF!</v>
      </c>
      <c r="DN108" s="19" t="e">
        <f>#REF!-DN109</f>
        <v>#REF!</v>
      </c>
      <c r="DO108" s="19" t="e">
        <f>#REF!-DO109</f>
        <v>#REF!</v>
      </c>
      <c r="DP108" s="19" t="e">
        <f>#REF!-DP109</f>
        <v>#REF!</v>
      </c>
      <c r="DQ108" s="11" t="s">
        <v>226</v>
      </c>
      <c r="DR108" s="18"/>
      <c r="DS108" s="10" t="e">
        <f>SUM(DG74:DH76)/DV108/10</f>
        <v>#REF!</v>
      </c>
      <c r="DT108" s="10" t="e">
        <f>DH73/DV108/10</f>
        <v>#REF!</v>
      </c>
      <c r="DU108" s="10" t="e">
        <f>SUM(DG70:DH72)/DV108/10</f>
        <v>#REF!</v>
      </c>
      <c r="DV108" s="73">
        <f>DW108+339.7</f>
        <v>717.4</v>
      </c>
      <c r="DW108" s="73">
        <v>377.7</v>
      </c>
      <c r="DX108" s="73">
        <v>1990</v>
      </c>
      <c r="DY108" s="11" t="s">
        <v>40</v>
      </c>
      <c r="DZ108" s="5"/>
      <c r="EA108" s="5"/>
      <c r="EB108" s="5"/>
      <c r="EC108" s="5"/>
      <c r="ED108" s="5"/>
      <c r="EH108" s="5"/>
      <c r="EI108" s="5"/>
      <c r="EJ108" s="5"/>
      <c r="EK108" s="5"/>
      <c r="EL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6" t="s">
        <v>74</v>
      </c>
      <c r="GI108" s="5"/>
      <c r="GJ108" s="5"/>
      <c r="GK108" s="5"/>
      <c r="GL108" s="5"/>
      <c r="GM108" s="13" t="s">
        <v>88</v>
      </c>
      <c r="GN108" s="13" t="s">
        <v>75</v>
      </c>
      <c r="GO108" s="13" t="s">
        <v>98</v>
      </c>
      <c r="GP108" s="13" t="s">
        <v>90</v>
      </c>
      <c r="GQ108" s="13" t="s">
        <v>91</v>
      </c>
      <c r="GR108" s="13" t="s">
        <v>92</v>
      </c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</row>
    <row r="109" spans="1:249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5"/>
      <c r="CT109" s="5"/>
      <c r="CU109" s="34"/>
      <c r="CV109" s="34"/>
      <c r="CW109" s="34"/>
      <c r="CX109" s="34"/>
      <c r="CY109" s="34"/>
      <c r="CZ109" s="34"/>
      <c r="DA109" s="5"/>
      <c r="DB109" s="5"/>
      <c r="DC109" s="12"/>
      <c r="DD109" s="5"/>
      <c r="DE109" s="5"/>
      <c r="DF109" s="5"/>
      <c r="DG109" s="19" t="e">
        <f>#REF!</f>
        <v>#REF!</v>
      </c>
      <c r="DH109" s="19" t="e">
        <f>#REF!</f>
        <v>#REF!</v>
      </c>
      <c r="DI109" s="19" t="e">
        <f>#REF!</f>
        <v>#REF!</v>
      </c>
      <c r="DJ109" s="19" t="e">
        <f>#REF!</f>
        <v>#REF!</v>
      </c>
      <c r="DK109" s="19" t="e">
        <f>#REF!</f>
        <v>#REF!</v>
      </c>
      <c r="DL109" s="19" t="e">
        <f>#REF!</f>
        <v>#REF!</v>
      </c>
      <c r="DM109" s="19" t="e">
        <f>#REF!</f>
        <v>#REF!</v>
      </c>
      <c r="DN109" s="19" t="e">
        <f>#REF!</f>
        <v>#REF!</v>
      </c>
      <c r="DO109" s="19" t="e">
        <f>#REF!</f>
        <v>#REF!</v>
      </c>
      <c r="DP109" s="19" t="e">
        <f>#REF!</f>
        <v>#REF!</v>
      </c>
      <c r="DQ109" s="11" t="s">
        <v>155</v>
      </c>
      <c r="DR109" s="18"/>
      <c r="DS109" s="10" t="e">
        <f>(SUM(DK112:DK115)-#REF!+'[2]T308-317'!GG21)/DV109/10</f>
        <v>#REF!</v>
      </c>
      <c r="DT109" s="10" t="e">
        <f>#REF!/DV109/10</f>
        <v>#REF!</v>
      </c>
      <c r="DU109" s="10" t="e">
        <f>(SUM(DK108:DK111)+'[2]T308-317'!GH21-'[2]T308-317'!GG21)/DV109/10</f>
        <v>#REF!</v>
      </c>
      <c r="DV109" s="73">
        <f>DW109+360.5</f>
        <v>762.9</v>
      </c>
      <c r="DW109" s="73">
        <v>402.4</v>
      </c>
      <c r="DX109" s="73">
        <v>1991</v>
      </c>
      <c r="DY109" s="11" t="s">
        <v>7</v>
      </c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34" t="e">
        <f>#REF!</f>
        <v>#REF!</v>
      </c>
      <c r="FW109" s="34" t="e">
        <f>#REF!</f>
        <v>#REF!</v>
      </c>
      <c r="FX109" s="34" t="e">
        <f>#REF!</f>
        <v>#REF!</v>
      </c>
      <c r="FY109" s="34">
        <f>FY111+FY119+FY124+FY126+FY131+FY137+FY139</f>
        <v>21960</v>
      </c>
      <c r="FZ109" s="34" t="e">
        <f>#REF!</f>
        <v>#REF!</v>
      </c>
      <c r="GA109" s="34" t="e">
        <f>DF$9</f>
        <v>#REF!</v>
      </c>
      <c r="GB109" s="6" t="s">
        <v>64</v>
      </c>
      <c r="GC109" s="8"/>
      <c r="GD109" s="8"/>
      <c r="GE109" s="8"/>
      <c r="GF109" s="8"/>
      <c r="GG109" s="8"/>
      <c r="GH109" s="11" t="s">
        <v>101</v>
      </c>
      <c r="GI109" s="8"/>
      <c r="GJ109" s="8"/>
      <c r="GK109" s="8"/>
      <c r="GL109" s="8"/>
      <c r="GM109" s="34" t="e">
        <f>GA109</f>
        <v>#REF!</v>
      </c>
      <c r="GN109" s="34" t="e">
        <f>FZ109</f>
        <v>#REF!</v>
      </c>
      <c r="GO109" s="34">
        <f>FY109</f>
        <v>21960</v>
      </c>
      <c r="GP109" s="34" t="e">
        <f>FX109</f>
        <v>#REF!</v>
      </c>
      <c r="GQ109" s="34" t="e">
        <f>FW109</f>
        <v>#REF!</v>
      </c>
      <c r="GR109" s="34" t="e">
        <f>FV109</f>
        <v>#REF!</v>
      </c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</row>
    <row r="110" spans="1:249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71">
        <f t="shared" ref="CH110:CM110" si="73">SUM(CH111:CH117)</f>
        <v>100</v>
      </c>
      <c r="CI110" s="71">
        <f t="shared" si="73"/>
        <v>100</v>
      </c>
      <c r="CJ110" s="71">
        <f t="shared" si="73"/>
        <v>100.00000000000001</v>
      </c>
      <c r="CK110" s="71">
        <f t="shared" si="73"/>
        <v>99.999999999999986</v>
      </c>
      <c r="CL110" s="71">
        <f t="shared" si="73"/>
        <v>100</v>
      </c>
      <c r="CM110" s="71">
        <f t="shared" si="73"/>
        <v>99.999999999999986</v>
      </c>
      <c r="CN110" s="72" t="s">
        <v>72</v>
      </c>
      <c r="CO110" s="71"/>
      <c r="CP110" s="71"/>
      <c r="CQ110" s="11" t="s">
        <v>75</v>
      </c>
      <c r="CR110" s="71"/>
      <c r="CS110" s="5"/>
      <c r="CT110" s="5"/>
      <c r="CU110" s="138">
        <f t="shared" ref="CU110:CU117" si="74">CM110</f>
        <v>99.999999999999986</v>
      </c>
      <c r="CV110" s="138">
        <f t="shared" ref="CV110:CV117" si="75">CL110</f>
        <v>100</v>
      </c>
      <c r="CW110" s="138">
        <f t="shared" ref="CW110:CW117" si="76">CK110</f>
        <v>99.999999999999986</v>
      </c>
      <c r="CX110" s="138">
        <f t="shared" ref="CX110:CX117" si="77">CJ110</f>
        <v>100.00000000000001</v>
      </c>
      <c r="CY110" s="138">
        <f t="shared" ref="CY110:CY117" si="78">CI110</f>
        <v>100</v>
      </c>
      <c r="CZ110" s="138">
        <f t="shared" ref="CZ110:CZ117" si="79">CH110</f>
        <v>100</v>
      </c>
      <c r="DA110" s="5"/>
      <c r="DB110" s="5"/>
      <c r="DC110" s="12"/>
      <c r="DD110" s="5"/>
      <c r="DE110" s="5"/>
      <c r="DF110" s="5"/>
      <c r="DG110" s="19" t="e">
        <f>#REF!</f>
        <v>#REF!</v>
      </c>
      <c r="DH110" s="19" t="e">
        <f>#REF!</f>
        <v>#REF!</v>
      </c>
      <c r="DI110" s="19" t="e">
        <f>#REF!</f>
        <v>#REF!</v>
      </c>
      <c r="DJ110" s="19" t="e">
        <f>#REF!</f>
        <v>#REF!</v>
      </c>
      <c r="DK110" s="19" t="e">
        <f>#REF!</f>
        <v>#REF!</v>
      </c>
      <c r="DL110" s="19" t="e">
        <f>#REF!</f>
        <v>#REF!</v>
      </c>
      <c r="DM110" s="19" t="e">
        <f>#REF!</f>
        <v>#REF!</v>
      </c>
      <c r="DN110" s="19" t="e">
        <f>#REF!</f>
        <v>#REF!</v>
      </c>
      <c r="DO110" s="19" t="e">
        <f>#REF!</f>
        <v>#REF!</v>
      </c>
      <c r="DP110" s="19" t="e">
        <f>#REF!</f>
        <v>#REF!</v>
      </c>
      <c r="DQ110" s="11" t="s">
        <v>166</v>
      </c>
      <c r="DR110" s="18"/>
      <c r="DS110" s="10" t="e">
        <f>(SUM(DJ112:DJ115)-#REF!+'[2]T308-317'!GG22)/DV110/10</f>
        <v>#REF!</v>
      </c>
      <c r="DT110" s="10" t="e">
        <f>(+#REF!)/DV110/10</f>
        <v>#REF!</v>
      </c>
      <c r="DU110" s="10" t="e">
        <f>(SUM(DJ108:DJ111)+'[2]T308-317'!GH22-'[2]T308-317'!GG22)/DV110/10</f>
        <v>#REF!</v>
      </c>
      <c r="DV110" s="73">
        <f>DW110+372.6</f>
        <v>795.40000000000009</v>
      </c>
      <c r="DW110" s="73">
        <v>422.8</v>
      </c>
      <c r="DX110" s="73">
        <v>1992</v>
      </c>
      <c r="DY110" s="6" t="s">
        <v>39</v>
      </c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34"/>
      <c r="FW110" s="34"/>
      <c r="FX110" s="34"/>
      <c r="FY110" s="34"/>
      <c r="FZ110" s="34"/>
      <c r="GA110" s="34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34"/>
      <c r="GN110" s="34"/>
      <c r="GO110" s="34"/>
      <c r="GP110" s="34"/>
      <c r="GQ110" s="34"/>
      <c r="GR110" s="34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</row>
    <row r="111" spans="1:249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71">
        <f t="shared" ref="CH111:CM111" si="80">CH91/CH90*100</f>
        <v>16.447368421052634</v>
      </c>
      <c r="CI111" s="71">
        <f t="shared" si="80"/>
        <v>35.911602209944753</v>
      </c>
      <c r="CJ111" s="71">
        <f t="shared" si="80"/>
        <v>25.180467091295117</v>
      </c>
      <c r="CK111" s="71">
        <f t="shared" si="80"/>
        <v>18.214936247723131</v>
      </c>
      <c r="CL111" s="71">
        <f t="shared" si="80"/>
        <v>18.232209737827716</v>
      </c>
      <c r="CM111" s="71">
        <f t="shared" si="80"/>
        <v>20.874035989717225</v>
      </c>
      <c r="CN111" s="72" t="s">
        <v>144</v>
      </c>
      <c r="CO111" s="71"/>
      <c r="CP111" s="71"/>
      <c r="CQ111" s="11" t="s">
        <v>145</v>
      </c>
      <c r="CR111" s="71"/>
      <c r="CS111" s="5"/>
      <c r="CT111" s="5"/>
      <c r="CU111" s="138">
        <f t="shared" si="74"/>
        <v>20.874035989717225</v>
      </c>
      <c r="CV111" s="138">
        <f t="shared" si="75"/>
        <v>18.232209737827716</v>
      </c>
      <c r="CW111" s="138">
        <f t="shared" si="76"/>
        <v>18.214936247723131</v>
      </c>
      <c r="CX111" s="138">
        <f t="shared" si="77"/>
        <v>25.180467091295117</v>
      </c>
      <c r="CY111" s="138">
        <f t="shared" si="78"/>
        <v>35.911602209944753</v>
      </c>
      <c r="CZ111" s="138">
        <f t="shared" si="79"/>
        <v>16.447368421052634</v>
      </c>
      <c r="DA111" s="5"/>
      <c r="DB111" s="5"/>
      <c r="DC111" s="12"/>
      <c r="DD111" s="5"/>
      <c r="DE111" s="5"/>
      <c r="DF111" s="5"/>
      <c r="DG111" s="19" t="e">
        <f>#REF!</f>
        <v>#REF!</v>
      </c>
      <c r="DH111" s="19" t="e">
        <f>#REF!</f>
        <v>#REF!</v>
      </c>
      <c r="DI111" s="19" t="e">
        <f>#REF!</f>
        <v>#REF!</v>
      </c>
      <c r="DJ111" s="19" t="e">
        <f>#REF!</f>
        <v>#REF!</v>
      </c>
      <c r="DK111" s="19" t="e">
        <f>#REF!</f>
        <v>#REF!</v>
      </c>
      <c r="DL111" s="19" t="e">
        <f>#REF!</f>
        <v>#REF!</v>
      </c>
      <c r="DM111" s="19" t="e">
        <f>#REF!</f>
        <v>#REF!</v>
      </c>
      <c r="DN111" s="19" t="e">
        <f>#REF!</f>
        <v>#REF!</v>
      </c>
      <c r="DO111" s="19" t="e">
        <f>#REF!</f>
        <v>#REF!</v>
      </c>
      <c r="DP111" s="19" t="e">
        <f>#REF!</f>
        <v>#REF!</v>
      </c>
      <c r="DQ111" s="11" t="s">
        <v>172</v>
      </c>
      <c r="DR111" s="18"/>
      <c r="DS111" s="10" t="e">
        <f>(SUM(DO74:DO76)+DK76)/DV111/10</f>
        <v>#REF!</v>
      </c>
      <c r="DT111" s="10" t="e">
        <f>DO73/DV111/10</f>
        <v>#REF!</v>
      </c>
      <c r="DU111" s="10" t="e">
        <f>(SUM(DO70:DO72)+SUM(DK70:DK72))/DV111/10</f>
        <v>#REF!</v>
      </c>
      <c r="DV111" s="73">
        <f>DW111+382</f>
        <v>822.9</v>
      </c>
      <c r="DW111" s="73">
        <v>440.9</v>
      </c>
      <c r="DX111" s="73">
        <v>1993</v>
      </c>
      <c r="DY111" s="11" t="s">
        <v>161</v>
      </c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34" t="e">
        <f>#REF!</f>
        <v>#REF!</v>
      </c>
      <c r="FW111" s="34" t="e">
        <f>#REF!</f>
        <v>#REF!</v>
      </c>
      <c r="FX111" s="34" t="e">
        <f>#REF!</f>
        <v>#REF!</v>
      </c>
      <c r="FY111" s="34">
        <f>SUM(FY113:FY117)</f>
        <v>7846</v>
      </c>
      <c r="FZ111" s="34" t="e">
        <f>#REF!</f>
        <v>#REF!</v>
      </c>
      <c r="GA111" s="34">
        <f>DF$11</f>
        <v>0</v>
      </c>
      <c r="GB111" s="11" t="s">
        <v>130</v>
      </c>
      <c r="GC111" s="8"/>
      <c r="GD111" s="8"/>
      <c r="GE111" s="8"/>
      <c r="GF111" s="8"/>
      <c r="GG111" s="8"/>
      <c r="GH111" s="11" t="s">
        <v>139</v>
      </c>
      <c r="GI111" s="8"/>
      <c r="GJ111" s="8"/>
      <c r="GK111" s="8"/>
      <c r="GL111" s="8"/>
      <c r="GM111" s="34">
        <f>GA111</f>
        <v>0</v>
      </c>
      <c r="GN111" s="34" t="e">
        <f>FZ111</f>
        <v>#REF!</v>
      </c>
      <c r="GO111" s="34">
        <f>FY111</f>
        <v>7846</v>
      </c>
      <c r="GP111" s="34" t="e">
        <f>FX111</f>
        <v>#REF!</v>
      </c>
      <c r="GQ111" s="34" t="e">
        <f>FW111</f>
        <v>#REF!</v>
      </c>
      <c r="GR111" s="34" t="e">
        <f>FV111</f>
        <v>#REF!</v>
      </c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</row>
    <row r="112" spans="1:249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71">
        <f t="shared" ref="CH112:CM112" si="81">CH92/CH90*100</f>
        <v>3.2894736842105261</v>
      </c>
      <c r="CI112" s="71">
        <f t="shared" si="81"/>
        <v>11.970534069981584</v>
      </c>
      <c r="CJ112" s="71">
        <f t="shared" si="81"/>
        <v>9.5116772823779208</v>
      </c>
      <c r="CK112" s="71">
        <f t="shared" si="81"/>
        <v>7.9690346083788706</v>
      </c>
      <c r="CL112" s="71">
        <f t="shared" si="81"/>
        <v>11.295880149812735</v>
      </c>
      <c r="CM112" s="71">
        <f t="shared" si="81"/>
        <v>10.776349614395887</v>
      </c>
      <c r="CN112" s="72" t="s">
        <v>70</v>
      </c>
      <c r="CO112" s="71"/>
      <c r="CP112" s="71"/>
      <c r="CQ112" s="11" t="s">
        <v>77</v>
      </c>
      <c r="CR112" s="71"/>
      <c r="CS112" s="5"/>
      <c r="CT112" s="5"/>
      <c r="CU112" s="138">
        <f t="shared" si="74"/>
        <v>10.776349614395887</v>
      </c>
      <c r="CV112" s="138">
        <f t="shared" si="75"/>
        <v>11.295880149812735</v>
      </c>
      <c r="CW112" s="138">
        <f t="shared" si="76"/>
        <v>7.9690346083788706</v>
      </c>
      <c r="CX112" s="138">
        <f t="shared" si="77"/>
        <v>9.5116772823779208</v>
      </c>
      <c r="CY112" s="138">
        <f t="shared" si="78"/>
        <v>11.970534069981584</v>
      </c>
      <c r="CZ112" s="138">
        <f t="shared" si="79"/>
        <v>3.2894736842105261</v>
      </c>
      <c r="DA112" s="5"/>
      <c r="DB112" s="5"/>
      <c r="DC112" s="12"/>
      <c r="DD112" s="5"/>
      <c r="DE112" s="5"/>
      <c r="DF112" s="5"/>
      <c r="DG112" s="19" t="e">
        <f>#REF!</f>
        <v>#REF!</v>
      </c>
      <c r="DH112" s="19" t="e">
        <f>#REF!</f>
        <v>#REF!</v>
      </c>
      <c r="DI112" s="19" t="e">
        <f>#REF!</f>
        <v>#REF!</v>
      </c>
      <c r="DJ112" s="19" t="e">
        <f>#REF!</f>
        <v>#REF!</v>
      </c>
      <c r="DK112" s="19" t="e">
        <f>#REF!</f>
        <v>#REF!</v>
      </c>
      <c r="DL112" s="19" t="e">
        <f>#REF!</f>
        <v>#REF!</v>
      </c>
      <c r="DM112" s="19" t="e">
        <f>#REF!</f>
        <v>#REF!</v>
      </c>
      <c r="DN112" s="19" t="e">
        <f>#REF!</f>
        <v>#REF!</v>
      </c>
      <c r="DO112" s="19" t="e">
        <f>#REF!</f>
        <v>#REF!</v>
      </c>
      <c r="DP112" s="19" t="e">
        <f>#REF!</f>
        <v>#REF!</v>
      </c>
      <c r="DQ112" s="11" t="s">
        <v>210</v>
      </c>
      <c r="DR112" s="18"/>
      <c r="DS112" s="10" t="e">
        <f>(SUM(DO88:DO90)+DK90)/DV111/10</f>
        <v>#REF!</v>
      </c>
      <c r="DT112" s="10" t="e">
        <f>DO87/DV111/10</f>
        <v>#REF!</v>
      </c>
      <c r="DU112" s="10" t="e">
        <f>(SUM(DO84:DO86)+SUM(DK84:DK86))/DV111/10</f>
        <v>#REF!</v>
      </c>
      <c r="DV112" s="73">
        <f>DW112+393</f>
        <v>851.7</v>
      </c>
      <c r="DW112" s="73">
        <v>458.7</v>
      </c>
      <c r="DX112" s="73">
        <v>1994</v>
      </c>
      <c r="DY112" s="11" t="s">
        <v>37</v>
      </c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34"/>
      <c r="FW112" s="34"/>
      <c r="FX112" s="34"/>
      <c r="FY112" s="34"/>
      <c r="FZ112" s="34"/>
      <c r="GA112" s="34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34"/>
      <c r="GN112" s="34"/>
      <c r="GO112" s="34"/>
      <c r="GP112" s="34"/>
      <c r="GQ112" s="34"/>
      <c r="GR112" s="34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</row>
    <row r="113" spans="1:249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71">
        <f t="shared" ref="CH113:CM113" si="82">CH93/CH90*100</f>
        <v>25</v>
      </c>
      <c r="CI113" s="71">
        <f t="shared" si="82"/>
        <v>21.36279926335175</v>
      </c>
      <c r="CJ113" s="71">
        <f t="shared" si="82"/>
        <v>33.121019108280251</v>
      </c>
      <c r="CK113" s="71">
        <f t="shared" si="82"/>
        <v>20.992714025500909</v>
      </c>
      <c r="CL113" s="71">
        <f t="shared" si="82"/>
        <v>25.00374531835206</v>
      </c>
      <c r="CM113" s="71">
        <f t="shared" si="82"/>
        <v>26.766066838046271</v>
      </c>
      <c r="CN113" s="72" t="s">
        <v>175</v>
      </c>
      <c r="CO113" s="71"/>
      <c r="CP113" s="71"/>
      <c r="CQ113" s="11" t="s">
        <v>176</v>
      </c>
      <c r="CR113" s="71"/>
      <c r="CS113" s="5"/>
      <c r="CT113" s="5"/>
      <c r="CU113" s="138">
        <f t="shared" si="74"/>
        <v>26.766066838046271</v>
      </c>
      <c r="CV113" s="138">
        <f t="shared" si="75"/>
        <v>25.00374531835206</v>
      </c>
      <c r="CW113" s="138">
        <f t="shared" si="76"/>
        <v>20.992714025500909</v>
      </c>
      <c r="CX113" s="138">
        <f t="shared" si="77"/>
        <v>33.121019108280251</v>
      </c>
      <c r="CY113" s="138">
        <f t="shared" si="78"/>
        <v>21.36279926335175</v>
      </c>
      <c r="CZ113" s="138">
        <f t="shared" si="79"/>
        <v>25</v>
      </c>
      <c r="DA113" s="5"/>
      <c r="DB113" s="5"/>
      <c r="DC113" s="12"/>
      <c r="DD113" s="5"/>
      <c r="DE113" s="5"/>
      <c r="DF113" s="5"/>
      <c r="DG113" s="19" t="e">
        <f>#REF!</f>
        <v>#REF!</v>
      </c>
      <c r="DH113" s="19" t="e">
        <f>#REF!</f>
        <v>#REF!</v>
      </c>
      <c r="DI113" s="19" t="e">
        <f>#REF!</f>
        <v>#REF!</v>
      </c>
      <c r="DJ113" s="19" t="e">
        <f>#REF!</f>
        <v>#REF!</v>
      </c>
      <c r="DK113" s="19" t="e">
        <f>#REF!</f>
        <v>#REF!</v>
      </c>
      <c r="DL113" s="19" t="e">
        <f>#REF!</f>
        <v>#REF!</v>
      </c>
      <c r="DM113" s="19" t="e">
        <f>#REF!</f>
        <v>#REF!</v>
      </c>
      <c r="DN113" s="19" t="e">
        <f>#REF!</f>
        <v>#REF!</v>
      </c>
      <c r="DO113" s="19" t="e">
        <f>#REF!</f>
        <v>#REF!</v>
      </c>
      <c r="DP113" s="19" t="e">
        <f>#REF!</f>
        <v>#REF!</v>
      </c>
      <c r="DQ113" s="11" t="s">
        <v>211</v>
      </c>
      <c r="DR113" s="18"/>
      <c r="DS113" s="10" t="e">
        <f>(SUM(DX88:DX90)+DT90+DT88)/DV113/10</f>
        <v>#REF!</v>
      </c>
      <c r="DT113" s="10" t="e">
        <f>DX87/DV113/10</f>
        <v>#REF!</v>
      </c>
      <c r="DU113" s="10" t="e">
        <f>(SUM(DX84:DX86)+SUM(DT84:DT86))/DV113/10</f>
        <v>#REF!</v>
      </c>
      <c r="DV113" s="73">
        <f>406.8+DW113</f>
        <v>883.7</v>
      </c>
      <c r="DW113" s="73">
        <v>476.9</v>
      </c>
      <c r="DX113" s="73">
        <v>1995</v>
      </c>
      <c r="DY113" s="11" t="s">
        <v>36</v>
      </c>
      <c r="DZ113" s="5"/>
      <c r="EA113" s="5"/>
      <c r="EB113" s="5"/>
      <c r="EC113" s="5"/>
      <c r="ED113" s="5"/>
      <c r="EE113" s="5"/>
      <c r="EF113" s="6" t="s">
        <v>17</v>
      </c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34" t="e">
        <f>#REF!</f>
        <v>#REF!</v>
      </c>
      <c r="FW113" s="34">
        <f>DF$47</f>
        <v>665</v>
      </c>
      <c r="FX113" s="34" t="e">
        <f>#REF!</f>
        <v>#REF!</v>
      </c>
      <c r="FY113" s="34">
        <v>4835</v>
      </c>
      <c r="FZ113" s="34" t="e">
        <f>#REF!</f>
        <v>#REF!</v>
      </c>
      <c r="GA113" s="34">
        <f>DF$13</f>
        <v>0</v>
      </c>
      <c r="GB113" s="11" t="s">
        <v>146</v>
      </c>
      <c r="GC113" s="8"/>
      <c r="GD113" s="8"/>
      <c r="GE113" s="8"/>
      <c r="GF113" s="8"/>
      <c r="GG113" s="8"/>
      <c r="GH113" s="11" t="s">
        <v>232</v>
      </c>
      <c r="GI113" s="8"/>
      <c r="GJ113" s="8"/>
      <c r="GK113" s="8"/>
      <c r="GL113" s="8"/>
      <c r="GM113" s="34">
        <f>GA113</f>
        <v>0</v>
      </c>
      <c r="GN113" s="34" t="e">
        <f>FZ113</f>
        <v>#REF!</v>
      </c>
      <c r="GO113" s="34">
        <f>FY113</f>
        <v>4835</v>
      </c>
      <c r="GP113" s="34" t="e">
        <f>FX113</f>
        <v>#REF!</v>
      </c>
      <c r="GQ113" s="34">
        <f>FW113</f>
        <v>665</v>
      </c>
      <c r="GR113" s="34" t="e">
        <f>FV113</f>
        <v>#REF!</v>
      </c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1:249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71">
        <f t="shared" ref="CH114:CM114" si="83">CH94/CH90*100</f>
        <v>36.84210526315789</v>
      </c>
      <c r="CI114" s="71">
        <f t="shared" si="83"/>
        <v>11.233885819521179</v>
      </c>
      <c r="CJ114" s="71">
        <f t="shared" si="83"/>
        <v>13.205944798301486</v>
      </c>
      <c r="CK114" s="71">
        <f t="shared" si="83"/>
        <v>20.673952641165755</v>
      </c>
      <c r="CL114" s="71">
        <f t="shared" si="83"/>
        <v>18.891385767790261</v>
      </c>
      <c r="CM114" s="71">
        <f t="shared" si="83"/>
        <v>17.367609254498714</v>
      </c>
      <c r="CN114" s="72" t="s">
        <v>177</v>
      </c>
      <c r="CO114" s="71"/>
      <c r="CP114" s="71"/>
      <c r="CQ114" s="11" t="s">
        <v>178</v>
      </c>
      <c r="CR114" s="71"/>
      <c r="CS114" s="5"/>
      <c r="CT114" s="5"/>
      <c r="CU114" s="138">
        <f t="shared" si="74"/>
        <v>17.367609254498714</v>
      </c>
      <c r="CV114" s="138">
        <f t="shared" si="75"/>
        <v>18.891385767790261</v>
      </c>
      <c r="CW114" s="138">
        <f t="shared" si="76"/>
        <v>20.673952641165755</v>
      </c>
      <c r="CX114" s="138">
        <f t="shared" si="77"/>
        <v>13.205944798301486</v>
      </c>
      <c r="CY114" s="138">
        <f t="shared" si="78"/>
        <v>11.233885819521179</v>
      </c>
      <c r="CZ114" s="138">
        <f t="shared" si="79"/>
        <v>36.84210526315789</v>
      </c>
      <c r="DA114" s="5"/>
      <c r="DB114" s="5"/>
      <c r="DC114" s="12"/>
      <c r="DD114" s="5"/>
      <c r="DE114" s="5"/>
      <c r="DF114" s="5"/>
      <c r="DG114" s="73" t="e">
        <f>#REF!+#REF!+#REF!</f>
        <v>#REF!</v>
      </c>
      <c r="DH114" s="73" t="e">
        <f>#REF!+#REF!+#REF!</f>
        <v>#REF!</v>
      </c>
      <c r="DI114" s="73" t="e">
        <f>#REF!+#REF!+#REF!</f>
        <v>#REF!</v>
      </c>
      <c r="DJ114" s="73" t="e">
        <f>#REF!+#REF!+#REF!</f>
        <v>#REF!</v>
      </c>
      <c r="DK114" s="73" t="e">
        <f>#REF!+#REF!+#REF!</f>
        <v>#REF!</v>
      </c>
      <c r="DL114" s="73" t="e">
        <f>#REF!+#REF!+#REF!</f>
        <v>#REF!</v>
      </c>
      <c r="DM114" s="73" t="e">
        <f>#REF!+#REF!+#REF!</f>
        <v>#REF!</v>
      </c>
      <c r="DN114" s="73" t="e">
        <f>#REF!+#REF!+#REF!</f>
        <v>#REF!</v>
      </c>
      <c r="DO114" s="73" t="e">
        <f>#REF!+#REF!+#REF!</f>
        <v>#REF!</v>
      </c>
      <c r="DP114" s="73" t="e">
        <f>#REF!+#REF!+#REF!</f>
        <v>#REF!</v>
      </c>
      <c r="DQ114" s="11" t="s">
        <v>230</v>
      </c>
      <c r="DR114" s="5"/>
      <c r="DS114" s="10" t="e">
        <f>(SUM(EG88:EG90)+EC90+EC88)/DV114/10</f>
        <v>#REF!</v>
      </c>
      <c r="DT114" s="73" t="e">
        <f>#REF!/DV114/10</f>
        <v>#REF!</v>
      </c>
      <c r="DU114" s="10" t="e">
        <f>(SUM(EG84:EG86)+SUM(EC84:EC86))/DV114/10</f>
        <v>#REF!</v>
      </c>
      <c r="DV114" s="73">
        <v>913</v>
      </c>
      <c r="DW114" s="5"/>
      <c r="DX114" s="73">
        <v>1996</v>
      </c>
      <c r="DY114" s="6" t="s">
        <v>35</v>
      </c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34" t="e">
        <f>#REF!</f>
        <v>#REF!</v>
      </c>
      <c r="FW114" s="34" t="e">
        <f>#REF!</f>
        <v>#REF!</v>
      </c>
      <c r="FX114" s="34" t="e">
        <f>#REF!</f>
        <v>#REF!</v>
      </c>
      <c r="FY114" s="34">
        <v>1549</v>
      </c>
      <c r="FZ114" s="34" t="e">
        <f>#REF!</f>
        <v>#REF!</v>
      </c>
      <c r="GA114" s="34" t="e">
        <f>#REF!</f>
        <v>#REF!</v>
      </c>
      <c r="GB114" s="11" t="s">
        <v>157</v>
      </c>
      <c r="GC114" s="8"/>
      <c r="GD114" s="8"/>
      <c r="GE114" s="8"/>
      <c r="GF114" s="8"/>
      <c r="GG114" s="8"/>
      <c r="GH114" s="11" t="s">
        <v>233</v>
      </c>
      <c r="GI114" s="8"/>
      <c r="GJ114" s="8"/>
      <c r="GK114" s="8"/>
      <c r="GL114" s="8"/>
      <c r="GM114" s="34" t="e">
        <f>GA114</f>
        <v>#REF!</v>
      </c>
      <c r="GN114" s="34" t="e">
        <f>FZ114</f>
        <v>#REF!</v>
      </c>
      <c r="GO114" s="34">
        <f>FY114</f>
        <v>1549</v>
      </c>
      <c r="GP114" s="34" t="e">
        <f>FX114</f>
        <v>#REF!</v>
      </c>
      <c r="GQ114" s="34" t="e">
        <f>FW114</f>
        <v>#REF!</v>
      </c>
      <c r="GR114" s="34" t="e">
        <f>FV114</f>
        <v>#REF!</v>
      </c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</row>
    <row r="115" spans="1:249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71">
        <f t="shared" ref="CH115:CM115" si="84">CH95/CH90*100</f>
        <v>12.5</v>
      </c>
      <c r="CI115" s="71">
        <f t="shared" si="84"/>
        <v>2.3941068139963169</v>
      </c>
      <c r="CJ115" s="71">
        <f t="shared" si="84"/>
        <v>9.8513800424628464</v>
      </c>
      <c r="CK115" s="71">
        <f t="shared" si="84"/>
        <v>16.985428051001822</v>
      </c>
      <c r="CL115" s="71">
        <f t="shared" si="84"/>
        <v>14.681647940074907</v>
      </c>
      <c r="CM115" s="71">
        <f t="shared" si="84"/>
        <v>12.791773778920309</v>
      </c>
      <c r="CN115" s="72" t="s">
        <v>149</v>
      </c>
      <c r="CO115" s="71"/>
      <c r="CP115" s="71"/>
      <c r="CQ115" s="11" t="s">
        <v>150</v>
      </c>
      <c r="CR115" s="71"/>
      <c r="CS115" s="5"/>
      <c r="CT115" s="5"/>
      <c r="CU115" s="138">
        <f t="shared" si="74"/>
        <v>12.791773778920309</v>
      </c>
      <c r="CV115" s="138">
        <f t="shared" si="75"/>
        <v>14.681647940074907</v>
      </c>
      <c r="CW115" s="138">
        <f t="shared" si="76"/>
        <v>16.985428051001822</v>
      </c>
      <c r="CX115" s="138">
        <f t="shared" si="77"/>
        <v>9.8513800424628464</v>
      </c>
      <c r="CY115" s="138">
        <f t="shared" si="78"/>
        <v>2.3941068139963169</v>
      </c>
      <c r="CZ115" s="138">
        <f t="shared" si="79"/>
        <v>12.5</v>
      </c>
      <c r="DA115" s="5"/>
      <c r="DB115" s="5"/>
      <c r="DC115" s="12"/>
      <c r="DD115" s="5"/>
      <c r="DE115" s="5"/>
      <c r="DF115" s="5"/>
      <c r="DG115" s="73" t="e">
        <f>#REF!</f>
        <v>#REF!</v>
      </c>
      <c r="DH115" s="73" t="e">
        <f>#REF!</f>
        <v>#REF!</v>
      </c>
      <c r="DI115" s="73" t="e">
        <f>#REF!</f>
        <v>#REF!</v>
      </c>
      <c r="DJ115" s="73" t="e">
        <f>#REF!</f>
        <v>#REF!</v>
      </c>
      <c r="DK115" s="73" t="e">
        <f>#REF!</f>
        <v>#REF!</v>
      </c>
      <c r="DL115" s="73" t="e">
        <f>#REF!</f>
        <v>#REF!</v>
      </c>
      <c r="DM115" s="73" t="e">
        <f>#REF!</f>
        <v>#REF!</v>
      </c>
      <c r="DN115" s="73" t="e">
        <f>#REF!</f>
        <v>#REF!</v>
      </c>
      <c r="DO115" s="73" t="e">
        <f>#REF!</f>
        <v>#REF!</v>
      </c>
      <c r="DP115" s="73" t="e">
        <f>#REF!</f>
        <v>#REF!</v>
      </c>
      <c r="DQ115" s="11" t="s">
        <v>216</v>
      </c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6" t="s">
        <v>258</v>
      </c>
      <c r="EC115" s="5"/>
      <c r="ED115" s="5"/>
      <c r="EE115" s="6" t="s">
        <v>31</v>
      </c>
      <c r="EF115" s="6" t="s">
        <v>31</v>
      </c>
      <c r="EG115" s="6" t="s">
        <v>31</v>
      </c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34" t="e">
        <f>#REF!</f>
        <v>#REF!</v>
      </c>
      <c r="FW115" s="34">
        <f>DF$48</f>
        <v>263</v>
      </c>
      <c r="FX115" s="34" t="e">
        <f>#REF!</f>
        <v>#REF!</v>
      </c>
      <c r="FY115" s="34">
        <v>868</v>
      </c>
      <c r="FZ115" s="34" t="e">
        <f>#REF!</f>
        <v>#REF!</v>
      </c>
      <c r="GA115" s="34" t="e">
        <f>#REF!</f>
        <v>#REF!</v>
      </c>
      <c r="GB115" s="11" t="s">
        <v>155</v>
      </c>
      <c r="GC115" s="8"/>
      <c r="GD115" s="8"/>
      <c r="GE115" s="8"/>
      <c r="GF115" s="8"/>
      <c r="GG115" s="8"/>
      <c r="GH115" s="11" t="s">
        <v>156</v>
      </c>
      <c r="GI115" s="8"/>
      <c r="GJ115" s="8"/>
      <c r="GK115" s="8"/>
      <c r="GL115" s="8"/>
      <c r="GM115" s="34" t="e">
        <f>GA115</f>
        <v>#REF!</v>
      </c>
      <c r="GN115" s="34" t="e">
        <f>FZ115</f>
        <v>#REF!</v>
      </c>
      <c r="GO115" s="34">
        <f>FY115</f>
        <v>868</v>
      </c>
      <c r="GP115" s="34" t="e">
        <f>FX115</f>
        <v>#REF!</v>
      </c>
      <c r="GQ115" s="34">
        <f>FW115</f>
        <v>263</v>
      </c>
      <c r="GR115" s="34" t="e">
        <f>FV115</f>
        <v>#REF!</v>
      </c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</row>
    <row r="116" spans="1:249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71">
        <f t="shared" ref="CH116:CM116" si="85">CH96/CH90*100</f>
        <v>5.9210526315789469</v>
      </c>
      <c r="CI116" s="71">
        <f t="shared" si="85"/>
        <v>6.9981583793738489</v>
      </c>
      <c r="CJ116" s="71">
        <f t="shared" si="85"/>
        <v>8.1953290870488313</v>
      </c>
      <c r="CK116" s="71">
        <f t="shared" si="85"/>
        <v>15.163934426229508</v>
      </c>
      <c r="CL116" s="71">
        <f t="shared" si="85"/>
        <v>11.895131086142321</v>
      </c>
      <c r="CM116" s="71">
        <f t="shared" si="85"/>
        <v>10.632390745501286</v>
      </c>
      <c r="CN116" s="72" t="s">
        <v>183</v>
      </c>
      <c r="CO116" s="71"/>
      <c r="CP116" s="71"/>
      <c r="CQ116" s="11" t="s">
        <v>184</v>
      </c>
      <c r="CR116" s="71"/>
      <c r="CS116" s="5"/>
      <c r="CT116" s="5"/>
      <c r="CU116" s="138">
        <f t="shared" si="74"/>
        <v>10.632390745501286</v>
      </c>
      <c r="CV116" s="138">
        <f t="shared" si="75"/>
        <v>11.895131086142321</v>
      </c>
      <c r="CW116" s="138">
        <f t="shared" si="76"/>
        <v>15.163934426229508</v>
      </c>
      <c r="CX116" s="138">
        <f t="shared" si="77"/>
        <v>8.1953290870488313</v>
      </c>
      <c r="CY116" s="138">
        <f t="shared" si="78"/>
        <v>6.9981583793738489</v>
      </c>
      <c r="CZ116" s="138">
        <f t="shared" si="79"/>
        <v>5.9210526315789469</v>
      </c>
      <c r="DA116" s="5"/>
      <c r="DB116" s="5"/>
      <c r="DC116" s="12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6" t="s">
        <v>72</v>
      </c>
      <c r="EC116" s="6" t="s">
        <v>259</v>
      </c>
      <c r="ED116" s="6" t="s">
        <v>84</v>
      </c>
      <c r="EE116" s="6" t="s">
        <v>95</v>
      </c>
      <c r="EF116" s="6" t="s">
        <v>96</v>
      </c>
      <c r="EG116" s="6" t="s">
        <v>30</v>
      </c>
      <c r="EH116" s="6" t="s">
        <v>72</v>
      </c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34" t="e">
        <f>#REF!</f>
        <v>#REF!</v>
      </c>
      <c r="FW116" s="34">
        <f>DF$49</f>
        <v>117</v>
      </c>
      <c r="FX116" s="34" t="e">
        <f>#REF!</f>
        <v>#REF!</v>
      </c>
      <c r="FY116" s="34">
        <v>564</v>
      </c>
      <c r="FZ116" s="34" t="e">
        <f>#REF!</f>
        <v>#REF!</v>
      </c>
      <c r="GA116" s="34" t="e">
        <f>#REF!</f>
        <v>#REF!</v>
      </c>
      <c r="GB116" s="11" t="s">
        <v>153</v>
      </c>
      <c r="GC116" s="8"/>
      <c r="GD116" s="8"/>
      <c r="GE116" s="8"/>
      <c r="GF116" s="8"/>
      <c r="GG116" s="8"/>
      <c r="GH116" s="11" t="s">
        <v>154</v>
      </c>
      <c r="GI116" s="8"/>
      <c r="GJ116" s="8"/>
      <c r="GK116" s="8"/>
      <c r="GL116" s="8"/>
      <c r="GM116" s="34" t="e">
        <f>GA116</f>
        <v>#REF!</v>
      </c>
      <c r="GN116" s="34" t="e">
        <f>FZ116</f>
        <v>#REF!</v>
      </c>
      <c r="GO116" s="34">
        <f>FY116</f>
        <v>564</v>
      </c>
      <c r="GP116" s="34" t="e">
        <f>FX116</f>
        <v>#REF!</v>
      </c>
      <c r="GQ116" s="34">
        <f>FW116</f>
        <v>117</v>
      </c>
      <c r="GR116" s="34" t="e">
        <f>FV116</f>
        <v>#REF!</v>
      </c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</row>
    <row r="117" spans="1:249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72" t="s">
        <v>124</v>
      </c>
      <c r="CI117" s="71">
        <f>CI97/CI90*100</f>
        <v>10.128913443830571</v>
      </c>
      <c r="CJ117" s="71">
        <f>CJ97/CJ90*100</f>
        <v>0.93418259023354566</v>
      </c>
      <c r="CK117" s="72" t="s">
        <v>124</v>
      </c>
      <c r="CL117" s="72" t="s">
        <v>124</v>
      </c>
      <c r="CM117" s="71">
        <f>CM97/CM90*100</f>
        <v>0.79177377892030842</v>
      </c>
      <c r="CN117" s="72" t="s">
        <v>187</v>
      </c>
      <c r="CO117" s="71"/>
      <c r="CP117" s="71"/>
      <c r="CQ117" s="11" t="s">
        <v>188</v>
      </c>
      <c r="CR117" s="71"/>
      <c r="CS117" s="5"/>
      <c r="CT117" s="5"/>
      <c r="CU117" s="138">
        <f t="shared" si="74"/>
        <v>0.79177377892030842</v>
      </c>
      <c r="CV117" s="138" t="str">
        <f t="shared" si="75"/>
        <v>-</v>
      </c>
      <c r="CW117" s="138" t="str">
        <f t="shared" si="76"/>
        <v>-</v>
      </c>
      <c r="CX117" s="138">
        <f t="shared" si="77"/>
        <v>0.93418259023354566</v>
      </c>
      <c r="CY117" s="138">
        <f t="shared" si="78"/>
        <v>10.128913443830571</v>
      </c>
      <c r="CZ117" s="138" t="str">
        <f t="shared" si="79"/>
        <v>-</v>
      </c>
      <c r="DA117" s="5"/>
      <c r="DB117" s="5"/>
      <c r="DC117" s="12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8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71" t="e">
        <f>SUM(EB118:EB124)</f>
        <v>#REF!</v>
      </c>
      <c r="EC117" s="141">
        <f>'[2]T308-317'!$GH$27</f>
        <v>8353</v>
      </c>
      <c r="ED117" s="8" t="e">
        <f>#REF!</f>
        <v>#REF!</v>
      </c>
      <c r="EE117" s="8" t="e">
        <f>#REF!</f>
        <v>#REF!</v>
      </c>
      <c r="EF117" s="8" t="e">
        <f>#REF!</f>
        <v>#REF!</v>
      </c>
      <c r="EG117" s="8" t="e">
        <f>#REF!</f>
        <v>#REF!</v>
      </c>
      <c r="EH117" s="8" t="e">
        <f>$DD$9</f>
        <v>#REF!</v>
      </c>
      <c r="EI117" s="6" t="s">
        <v>72</v>
      </c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34" t="e">
        <f>#REF!</f>
        <v>#REF!</v>
      </c>
      <c r="FW117" s="34">
        <f>DF$50</f>
        <v>1</v>
      </c>
      <c r="FX117" s="34" t="e">
        <f>#REF!</f>
        <v>#REF!</v>
      </c>
      <c r="FY117" s="34">
        <v>30</v>
      </c>
      <c r="FZ117" s="34" t="e">
        <f>#REF!</f>
        <v>#REF!</v>
      </c>
      <c r="GA117" s="34" t="e">
        <f>#REF!</f>
        <v>#REF!</v>
      </c>
      <c r="GB117" s="11" t="s">
        <v>151</v>
      </c>
      <c r="GC117" s="8"/>
      <c r="GD117" s="8"/>
      <c r="GE117" s="8"/>
      <c r="GF117" s="8"/>
      <c r="GG117" s="8"/>
      <c r="GH117" s="11" t="s">
        <v>234</v>
      </c>
      <c r="GI117" s="8"/>
      <c r="GJ117" s="8"/>
      <c r="GK117" s="8"/>
      <c r="GL117" s="8"/>
      <c r="GM117" s="34" t="e">
        <f>GA117</f>
        <v>#REF!</v>
      </c>
      <c r="GN117" s="34" t="e">
        <f>FZ117</f>
        <v>#REF!</v>
      </c>
      <c r="GO117" s="34">
        <f>FY117</f>
        <v>30</v>
      </c>
      <c r="GP117" s="34" t="e">
        <f>FX117</f>
        <v>#REF!</v>
      </c>
      <c r="GQ117" s="34">
        <f>FW117</f>
        <v>1</v>
      </c>
      <c r="GR117" s="34" t="e">
        <f>FV117</f>
        <v>#REF!</v>
      </c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</row>
    <row r="118" spans="1:249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12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8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71" t="e">
        <f t="shared" ref="EB118:EB124" si="86">(EC118+EG118)/(EC$117+EG$117)*100</f>
        <v>#REF!</v>
      </c>
      <c r="EC118" s="141">
        <f>SUM('[2]T308-317'!$GD$27:$GE$27)</f>
        <v>2292</v>
      </c>
      <c r="ED118" s="8" t="e">
        <f>#REF!</f>
        <v>#REF!</v>
      </c>
      <c r="EE118" s="8" t="e">
        <f>#REF!</f>
        <v>#REF!</v>
      </c>
      <c r="EF118" s="8" t="e">
        <f>#REF!</f>
        <v>#REF!</v>
      </c>
      <c r="EG118" s="8" t="e">
        <f>#REF!</f>
        <v>#REF!</v>
      </c>
      <c r="EH118" s="8">
        <f>$DD$11</f>
        <v>0</v>
      </c>
      <c r="EI118" s="19" t="s">
        <v>260</v>
      </c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34"/>
      <c r="FW118" s="34"/>
      <c r="FX118" s="34"/>
      <c r="FY118" s="34"/>
      <c r="FZ118" s="34"/>
      <c r="GA118" s="34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34"/>
      <c r="GN118" s="34"/>
      <c r="GO118" s="34"/>
      <c r="GP118" s="34"/>
      <c r="GQ118" s="34"/>
      <c r="GR118" s="34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</row>
    <row r="119" spans="1:249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6" t="s">
        <v>231</v>
      </c>
      <c r="CI119" s="5"/>
      <c r="CJ119" s="5"/>
      <c r="CK119" s="5"/>
      <c r="CL119" s="5"/>
      <c r="CM119" s="5"/>
      <c r="CN119" s="5"/>
      <c r="CO119" s="5"/>
      <c r="CP119" s="5"/>
      <c r="CQ119" s="6" t="s">
        <v>221</v>
      </c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12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8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71" t="e">
        <f t="shared" si="86"/>
        <v>#REF!</v>
      </c>
      <c r="EC119" s="141">
        <f>'[2]T308-317'!$GF$27</f>
        <v>13902</v>
      </c>
      <c r="ED119" s="8" t="e">
        <f>#REF!</f>
        <v>#REF!</v>
      </c>
      <c r="EE119" s="8">
        <f>$DD$52</f>
        <v>729</v>
      </c>
      <c r="EF119" s="8" t="e">
        <f>#REF!</f>
        <v>#REF!</v>
      </c>
      <c r="EG119" s="8" t="e">
        <f>#REF!</f>
        <v>#REF!</v>
      </c>
      <c r="EH119" s="8" t="e">
        <f>#REF!</f>
        <v>#REF!</v>
      </c>
      <c r="EI119" s="19" t="s">
        <v>261</v>
      </c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34" t="e">
        <f>#REF!</f>
        <v>#REF!</v>
      </c>
      <c r="FW119" s="34">
        <f>DF$52</f>
        <v>581</v>
      </c>
      <c r="FX119" s="34" t="e">
        <f>#REF!</f>
        <v>#REF!</v>
      </c>
      <c r="FY119" s="34">
        <f>FY121+FY122</f>
        <v>6216</v>
      </c>
      <c r="FZ119" s="34" t="e">
        <f>#REF!</f>
        <v>#REF!</v>
      </c>
      <c r="GA119" s="34" t="e">
        <f>#REF!</f>
        <v>#REF!</v>
      </c>
      <c r="GB119" s="11" t="s">
        <v>166</v>
      </c>
      <c r="GC119" s="8"/>
      <c r="GD119" s="8"/>
      <c r="GE119" s="8"/>
      <c r="GF119" s="8"/>
      <c r="GG119" s="8"/>
      <c r="GH119" s="11" t="s">
        <v>218</v>
      </c>
      <c r="GI119" s="8"/>
      <c r="GJ119" s="8"/>
      <c r="GK119" s="8"/>
      <c r="GL119" s="8"/>
      <c r="GM119" s="34" t="e">
        <f>GA119</f>
        <v>#REF!</v>
      </c>
      <c r="GN119" s="34" t="e">
        <f>FZ119</f>
        <v>#REF!</v>
      </c>
      <c r="GO119" s="34">
        <f>FY119</f>
        <v>6216</v>
      </c>
      <c r="GP119" s="34" t="e">
        <f>FX119</f>
        <v>#REF!</v>
      </c>
      <c r="GQ119" s="34">
        <f>FW119</f>
        <v>581</v>
      </c>
      <c r="GR119" s="34" t="e">
        <f>FV119</f>
        <v>#REF!</v>
      </c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</row>
    <row r="120" spans="1:249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6" t="s">
        <v>219</v>
      </c>
      <c r="CI120" s="5"/>
      <c r="CJ120" s="5"/>
      <c r="CK120" s="5"/>
      <c r="CL120" s="5"/>
      <c r="CM120" s="5"/>
      <c r="CN120" s="5"/>
      <c r="CO120" s="5"/>
      <c r="CP120" s="5"/>
      <c r="CQ120" s="6" t="s">
        <v>222</v>
      </c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12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8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71" t="e">
        <f t="shared" si="86"/>
        <v>#REF!</v>
      </c>
      <c r="EC120" s="141">
        <f>'[2]T308-317'!$GC$27</f>
        <v>0</v>
      </c>
      <c r="ED120" s="34" t="e">
        <f>#REF!</f>
        <v>#REF!</v>
      </c>
      <c r="EE120" s="8">
        <f>$DD$58</f>
        <v>55</v>
      </c>
      <c r="EF120" s="8" t="e">
        <f>#REF!</f>
        <v>#REF!</v>
      </c>
      <c r="EG120" s="8" t="e">
        <f>#REF!</f>
        <v>#REF!</v>
      </c>
      <c r="EH120" s="8">
        <f>$DD$14</f>
        <v>0</v>
      </c>
      <c r="EI120" s="19" t="s">
        <v>172</v>
      </c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34"/>
      <c r="FW120" s="34"/>
      <c r="FX120" s="34"/>
      <c r="FY120" s="34"/>
      <c r="FZ120" s="34"/>
      <c r="GA120" s="34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34"/>
      <c r="GN120" s="34"/>
      <c r="GO120" s="34"/>
      <c r="GP120" s="34"/>
      <c r="GQ120" s="34"/>
      <c r="GR120" s="34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1" spans="1:249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12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8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71" t="e">
        <f t="shared" si="86"/>
        <v>#REF!</v>
      </c>
      <c r="EC121" s="6" t="s">
        <v>124</v>
      </c>
      <c r="ED121" s="34" t="e">
        <f>#REF!</f>
        <v>#REF!</v>
      </c>
      <c r="EE121" s="8" t="e">
        <f>$DD$60</f>
        <v>#REF!</v>
      </c>
      <c r="EF121" s="8" t="e">
        <f>#REF!</f>
        <v>#REF!</v>
      </c>
      <c r="EG121" s="8" t="e">
        <f>#REF!</f>
        <v>#REF!</v>
      </c>
      <c r="EH121" s="8" t="e">
        <f>#REF!</f>
        <v>#REF!</v>
      </c>
      <c r="EI121" s="19" t="s">
        <v>262</v>
      </c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34" t="e">
        <f>#REF!</f>
        <v>#REF!</v>
      </c>
      <c r="FW121" s="34">
        <f>DF$55</f>
        <v>495</v>
      </c>
      <c r="FX121" s="34" t="e">
        <f>#REF!</f>
        <v>#REF!</v>
      </c>
      <c r="FY121" s="34">
        <v>5510</v>
      </c>
      <c r="FZ121" s="34" t="e">
        <f>#REF!</f>
        <v>#REF!</v>
      </c>
      <c r="GA121" s="34" t="e">
        <f>#REF!</f>
        <v>#REF!</v>
      </c>
      <c r="GB121" s="11" t="s">
        <v>164</v>
      </c>
      <c r="GC121" s="8"/>
      <c r="GD121" s="8"/>
      <c r="GE121" s="8"/>
      <c r="GF121" s="8"/>
      <c r="GG121" s="8"/>
      <c r="GH121" s="11" t="s">
        <v>165</v>
      </c>
      <c r="GI121" s="8"/>
      <c r="GJ121" s="8"/>
      <c r="GK121" s="8"/>
      <c r="GL121" s="8"/>
      <c r="GM121" s="34" t="e">
        <f>GA121</f>
        <v>#REF!</v>
      </c>
      <c r="GN121" s="34" t="e">
        <f>FZ121</f>
        <v>#REF!</v>
      </c>
      <c r="GO121" s="34">
        <f>FY121</f>
        <v>5510</v>
      </c>
      <c r="GP121" s="34" t="e">
        <f>FX121</f>
        <v>#REF!</v>
      </c>
      <c r="GQ121" s="34">
        <f>FW121</f>
        <v>495</v>
      </c>
      <c r="GR121" s="34" t="e">
        <f>FV121</f>
        <v>#REF!</v>
      </c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</row>
    <row r="122" spans="1:249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12"/>
      <c r="DD122" s="5"/>
      <c r="DE122" s="5"/>
      <c r="DF122" s="5"/>
      <c r="DG122" s="5"/>
      <c r="DH122" s="5"/>
      <c r="DI122" s="5"/>
      <c r="DJ122" s="6" t="s">
        <v>267</v>
      </c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71" t="e">
        <f t="shared" si="86"/>
        <v>#REF!</v>
      </c>
      <c r="EC122" s="73">
        <f>257+125+630+164</f>
        <v>1176</v>
      </c>
      <c r="ED122" s="34" t="e">
        <f>#REF!</f>
        <v>#REF!</v>
      </c>
      <c r="EE122" s="8" t="e">
        <f>#REF!</f>
        <v>#REF!</v>
      </c>
      <c r="EF122" s="8" t="e">
        <f>#REF!</f>
        <v>#REF!</v>
      </c>
      <c r="EG122" s="8" t="e">
        <f>#REF!</f>
        <v>#REF!</v>
      </c>
      <c r="EH122" s="8">
        <f>$DD$30</f>
        <v>0</v>
      </c>
      <c r="EI122" s="19" t="s">
        <v>240</v>
      </c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34" t="e">
        <f>#REF!</f>
        <v>#REF!</v>
      </c>
      <c r="FW122" s="34">
        <f>DF$56</f>
        <v>86</v>
      </c>
      <c r="FX122" s="34" t="e">
        <f>#REF!</f>
        <v>#REF!</v>
      </c>
      <c r="FY122" s="34">
        <v>706</v>
      </c>
      <c r="FZ122" s="34" t="e">
        <f>#REF!</f>
        <v>#REF!</v>
      </c>
      <c r="GA122" s="34" t="e">
        <f>#REF!</f>
        <v>#REF!</v>
      </c>
      <c r="GB122" s="11" t="s">
        <v>162</v>
      </c>
      <c r="GC122" s="8"/>
      <c r="GD122" s="8"/>
      <c r="GE122" s="8"/>
      <c r="GF122" s="8"/>
      <c r="GG122" s="8"/>
      <c r="GH122" s="11" t="s">
        <v>174</v>
      </c>
      <c r="GI122" s="8"/>
      <c r="GJ122" s="8"/>
      <c r="GK122" s="8"/>
      <c r="GL122" s="8"/>
      <c r="GM122" s="34" t="e">
        <f>GA122</f>
        <v>#REF!</v>
      </c>
      <c r="GN122" s="34" t="e">
        <f>FZ122</f>
        <v>#REF!</v>
      </c>
      <c r="GO122" s="34">
        <f>FY122</f>
        <v>706</v>
      </c>
      <c r="GP122" s="34" t="e">
        <f>FX122</f>
        <v>#REF!</v>
      </c>
      <c r="GQ122" s="34">
        <f>FW122</f>
        <v>86</v>
      </c>
      <c r="GR122" s="34" t="e">
        <f>FV122</f>
        <v>#REF!</v>
      </c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</row>
    <row r="123" spans="1:249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12"/>
      <c r="DD123" s="5"/>
      <c r="DE123" s="5"/>
      <c r="DF123" s="5"/>
      <c r="DG123" s="5"/>
      <c r="DH123" s="5"/>
      <c r="DI123" s="5"/>
      <c r="DJ123" s="6" t="s">
        <v>271</v>
      </c>
      <c r="DK123" s="5"/>
      <c r="DL123" s="5"/>
      <c r="DM123" s="5"/>
      <c r="DN123" s="5"/>
      <c r="DO123" s="5"/>
      <c r="DP123" s="5"/>
      <c r="DQ123" s="8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71" t="e">
        <f t="shared" si="86"/>
        <v>#REF!</v>
      </c>
      <c r="EC123" s="6" t="s">
        <v>124</v>
      </c>
      <c r="ED123" s="34" t="e">
        <f>#REF!</f>
        <v>#REF!</v>
      </c>
      <c r="EE123" s="8" t="e">
        <f>#REF!</f>
        <v>#REF!</v>
      </c>
      <c r="EF123" s="8" t="e">
        <f>#REF!</f>
        <v>#REF!</v>
      </c>
      <c r="EG123" s="8" t="e">
        <f>#REF!</f>
        <v>#REF!</v>
      </c>
      <c r="EH123" s="8" t="e">
        <f>#REF!</f>
        <v>#REF!</v>
      </c>
      <c r="EI123" s="19" t="s">
        <v>217</v>
      </c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6" t="s">
        <v>236</v>
      </c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6" t="s">
        <v>237</v>
      </c>
      <c r="FN123" s="5"/>
      <c r="FO123" s="5"/>
      <c r="FP123" s="5"/>
      <c r="FQ123" s="5"/>
      <c r="FR123" s="5"/>
      <c r="FS123" s="5"/>
      <c r="FT123" s="5"/>
      <c r="FU123" s="5"/>
      <c r="FV123" s="34"/>
      <c r="FW123" s="34"/>
      <c r="FX123" s="34"/>
      <c r="FY123" s="34"/>
      <c r="FZ123" s="34"/>
      <c r="GA123" s="34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34"/>
      <c r="GN123" s="34"/>
      <c r="GO123" s="34"/>
      <c r="GP123" s="34"/>
      <c r="GQ123" s="34"/>
      <c r="GR123" s="34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</row>
    <row r="124" spans="1:249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12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71" t="e">
        <f t="shared" si="86"/>
        <v>#REF!</v>
      </c>
      <c r="EC124" s="141">
        <f>'[2]T308-317'!$GG$27-EC122</f>
        <v>953</v>
      </c>
      <c r="ED124" s="34" t="e">
        <f>#REF!</f>
        <v>#REF!</v>
      </c>
      <c r="EE124" s="8" t="e">
        <f>#REF!</f>
        <v>#REF!</v>
      </c>
      <c r="EF124" s="8" t="e">
        <f>#REF!</f>
        <v>#REF!</v>
      </c>
      <c r="EG124" s="8" t="e">
        <f>#REF!</f>
        <v>#REF!</v>
      </c>
      <c r="EH124" s="8">
        <f>$DD$36</f>
        <v>0</v>
      </c>
      <c r="EI124" s="19" t="s">
        <v>216</v>
      </c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6" t="s">
        <v>238</v>
      </c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6" t="s">
        <v>239</v>
      </c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34" t="e">
        <f>#REF!</f>
        <v>#REF!</v>
      </c>
      <c r="FW124" s="34">
        <f>DF$58</f>
        <v>61</v>
      </c>
      <c r="FX124" s="34" t="e">
        <f>#REF!</f>
        <v>#REF!</v>
      </c>
      <c r="FY124" s="34">
        <v>1165</v>
      </c>
      <c r="FZ124" s="34" t="e">
        <f>#REF!</f>
        <v>#REF!</v>
      </c>
      <c r="GA124" s="34">
        <f>DF$14</f>
        <v>0</v>
      </c>
      <c r="GB124" s="11" t="s">
        <v>172</v>
      </c>
      <c r="GC124" s="8"/>
      <c r="GD124" s="8"/>
      <c r="GE124" s="8"/>
      <c r="GF124" s="8"/>
      <c r="GG124" s="8"/>
      <c r="GH124" s="11" t="s">
        <v>163</v>
      </c>
      <c r="GI124" s="8"/>
      <c r="GJ124" s="8"/>
      <c r="GK124" s="8"/>
      <c r="GL124" s="8"/>
      <c r="GM124" s="34">
        <f>GA124</f>
        <v>0</v>
      </c>
      <c r="GN124" s="34" t="e">
        <f>FZ124</f>
        <v>#REF!</v>
      </c>
      <c r="GO124" s="34">
        <f>FY124</f>
        <v>1165</v>
      </c>
      <c r="GP124" s="34" t="e">
        <f>FX124</f>
        <v>#REF!</v>
      </c>
      <c r="GQ124" s="34">
        <f>FW124</f>
        <v>61</v>
      </c>
      <c r="GR124" s="34" t="e">
        <f>FV124</f>
        <v>#REF!</v>
      </c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</row>
    <row r="125" spans="1:249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12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19" t="s">
        <v>186</v>
      </c>
      <c r="DO125" s="5"/>
      <c r="DP125" s="5"/>
      <c r="DQ125" s="8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73" t="e">
        <f>EC118+EG118</f>
        <v>#REF!</v>
      </c>
      <c r="ED125" s="71" t="e">
        <f t="shared" ref="ED125:EH132" si="87">ED117/ED$117*100</f>
        <v>#REF!</v>
      </c>
      <c r="EE125" s="71" t="e">
        <f t="shared" si="87"/>
        <v>#REF!</v>
      </c>
      <c r="EF125" s="71" t="e">
        <f t="shared" si="87"/>
        <v>#REF!</v>
      </c>
      <c r="EG125" s="71" t="e">
        <f t="shared" si="87"/>
        <v>#REF!</v>
      </c>
      <c r="EH125" s="71" t="e">
        <f t="shared" si="87"/>
        <v>#REF!</v>
      </c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6" t="s">
        <v>35</v>
      </c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6" t="s">
        <v>116</v>
      </c>
      <c r="FN125" s="5"/>
      <c r="FO125" s="5"/>
      <c r="FP125" s="5"/>
      <c r="FQ125" s="5"/>
      <c r="FR125" s="5"/>
      <c r="FS125" s="5"/>
      <c r="FT125" s="5"/>
      <c r="FU125" s="5"/>
      <c r="FV125" s="34"/>
      <c r="FW125" s="34"/>
      <c r="FX125" s="34"/>
      <c r="FY125" s="34"/>
      <c r="FZ125" s="34"/>
      <c r="GA125" s="34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34"/>
      <c r="GN125" s="34"/>
      <c r="GO125" s="34"/>
      <c r="GP125" s="34"/>
      <c r="GQ125" s="34"/>
      <c r="GR125" s="34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</row>
    <row r="126" spans="1:249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12"/>
      <c r="DD126" s="5"/>
      <c r="DE126" s="5"/>
      <c r="DF126" s="5"/>
      <c r="DG126" s="5"/>
      <c r="DH126" s="6" t="s">
        <v>37</v>
      </c>
      <c r="DI126" s="6" t="s">
        <v>161</v>
      </c>
      <c r="DJ126" s="6" t="s">
        <v>39</v>
      </c>
      <c r="DK126" s="19" t="s">
        <v>7</v>
      </c>
      <c r="DL126" s="19" t="s">
        <v>40</v>
      </c>
      <c r="DM126" s="19" t="s">
        <v>41</v>
      </c>
      <c r="DN126" s="19" t="s">
        <v>42</v>
      </c>
      <c r="DO126" s="19" t="s">
        <v>43</v>
      </c>
      <c r="DP126" s="19" t="s">
        <v>44</v>
      </c>
      <c r="DQ126" s="18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73" t="e">
        <f>EC120+EG120</f>
        <v>#REF!</v>
      </c>
      <c r="ED126" s="71" t="e">
        <f t="shared" si="87"/>
        <v>#REF!</v>
      </c>
      <c r="EE126" s="71" t="e">
        <f t="shared" si="87"/>
        <v>#REF!</v>
      </c>
      <c r="EF126" s="71" t="e">
        <f t="shared" si="87"/>
        <v>#REF!</v>
      </c>
      <c r="EG126" s="71" t="e">
        <f t="shared" si="87"/>
        <v>#REF!</v>
      </c>
      <c r="EH126" s="71" t="e">
        <f t="shared" si="87"/>
        <v>#REF!</v>
      </c>
      <c r="EI126" s="19" t="s">
        <v>260</v>
      </c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6" t="s">
        <v>23</v>
      </c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6" t="s">
        <v>24</v>
      </c>
      <c r="FM126" s="5"/>
      <c r="FN126" s="5"/>
      <c r="FO126" s="5"/>
      <c r="FP126" s="5"/>
      <c r="FQ126" s="5"/>
      <c r="FR126" s="5"/>
      <c r="FS126" s="5"/>
      <c r="FT126" s="5"/>
      <c r="FU126" s="5"/>
      <c r="FV126" s="34" t="s">
        <v>124</v>
      </c>
      <c r="FW126" s="34" t="e">
        <f>DF$60</f>
        <v>#REF!</v>
      </c>
      <c r="FX126" s="34" t="e">
        <f>#REF!</f>
        <v>#REF!</v>
      </c>
      <c r="FY126" s="34">
        <f>FY128+FY129</f>
        <v>1214</v>
      </c>
      <c r="FZ126" s="34" t="e">
        <f>#REF!</f>
        <v>#REF!</v>
      </c>
      <c r="GA126" s="34" t="e">
        <f>#REF!</f>
        <v>#REF!</v>
      </c>
      <c r="GB126" s="11" t="s">
        <v>179</v>
      </c>
      <c r="GC126" s="8"/>
      <c r="GD126" s="8"/>
      <c r="GE126" s="8"/>
      <c r="GF126" s="8"/>
      <c r="GG126" s="8"/>
      <c r="GH126" s="11" t="s">
        <v>168</v>
      </c>
      <c r="GI126" s="8"/>
      <c r="GJ126" s="8"/>
      <c r="GK126" s="8"/>
      <c r="GL126" s="8"/>
      <c r="GM126" s="34" t="e">
        <f>GA126</f>
        <v>#REF!</v>
      </c>
      <c r="GN126" s="34" t="e">
        <f>FZ126</f>
        <v>#REF!</v>
      </c>
      <c r="GO126" s="34">
        <f>FY126</f>
        <v>1214</v>
      </c>
      <c r="GP126" s="34" t="e">
        <f>FX126</f>
        <v>#REF!</v>
      </c>
      <c r="GQ126" s="34" t="e">
        <f>FW126</f>
        <v>#REF!</v>
      </c>
      <c r="GR126" s="34" t="str">
        <f>FV126</f>
        <v>-</v>
      </c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</row>
    <row r="127" spans="1:249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12"/>
      <c r="DD127" s="5"/>
      <c r="DE127" s="5"/>
      <c r="DF127" s="5"/>
      <c r="DG127" s="5"/>
      <c r="DH127" s="138" t="e">
        <f t="shared" ref="DH127:DP127" si="88">SUM(DH128:DH135)</f>
        <v>#REF!</v>
      </c>
      <c r="DI127" s="138" t="e">
        <f t="shared" si="88"/>
        <v>#REF!</v>
      </c>
      <c r="DJ127" s="138" t="e">
        <f t="shared" si="88"/>
        <v>#REF!</v>
      </c>
      <c r="DK127" s="138" t="e">
        <f t="shared" si="88"/>
        <v>#REF!</v>
      </c>
      <c r="DL127" s="138" t="e">
        <f t="shared" si="88"/>
        <v>#REF!</v>
      </c>
      <c r="DM127" s="138" t="e">
        <f t="shared" si="88"/>
        <v>#REF!</v>
      </c>
      <c r="DN127" s="138" t="e">
        <f t="shared" si="88"/>
        <v>#REF!</v>
      </c>
      <c r="DO127" s="138" t="e">
        <f t="shared" si="88"/>
        <v>#REF!</v>
      </c>
      <c r="DP127" s="138" t="e">
        <f t="shared" si="88"/>
        <v>#REF!</v>
      </c>
      <c r="DQ127" s="72" t="s">
        <v>72</v>
      </c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146" t="e">
        <f>RATE(5,-EC128,EC125)</f>
        <v>#REF!</v>
      </c>
      <c r="ED127" s="71" t="e">
        <f t="shared" si="87"/>
        <v>#REF!</v>
      </c>
      <c r="EE127" s="71" t="e">
        <f t="shared" si="87"/>
        <v>#REF!</v>
      </c>
      <c r="EF127" s="71" t="e">
        <f t="shared" si="87"/>
        <v>#REF!</v>
      </c>
      <c r="EG127" s="71" t="e">
        <f t="shared" si="87"/>
        <v>#REF!</v>
      </c>
      <c r="EH127" s="71" t="e">
        <f t="shared" si="87"/>
        <v>#REF!</v>
      </c>
      <c r="EI127" s="19" t="s">
        <v>261</v>
      </c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6" t="s">
        <v>26</v>
      </c>
      <c r="EV127" s="6" t="s">
        <v>27</v>
      </c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6" t="s">
        <v>28</v>
      </c>
      <c r="FQ127" s="6" t="s">
        <v>29</v>
      </c>
      <c r="FR127" s="5"/>
      <c r="FS127" s="5"/>
      <c r="FT127" s="5"/>
      <c r="FU127" s="5"/>
      <c r="FV127" s="34"/>
      <c r="FW127" s="34"/>
      <c r="FX127" s="34"/>
      <c r="FY127" s="34"/>
      <c r="FZ127" s="34"/>
      <c r="GA127" s="34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34"/>
      <c r="GN127" s="34"/>
      <c r="GO127" s="34"/>
      <c r="GP127" s="34"/>
      <c r="GQ127" s="34"/>
      <c r="GR127" s="34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</row>
    <row r="128" spans="1:249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12"/>
      <c r="DD128" s="5"/>
      <c r="DE128" s="5"/>
      <c r="DF128" s="5"/>
      <c r="DG128" s="5"/>
      <c r="DH128" s="71" t="e">
        <f t="shared" ref="DH128:DP128" si="89">DH108/DH$107*100</f>
        <v>#REF!</v>
      </c>
      <c r="DI128" s="71" t="e">
        <f t="shared" si="89"/>
        <v>#REF!</v>
      </c>
      <c r="DJ128" s="71" t="e">
        <f t="shared" si="89"/>
        <v>#REF!</v>
      </c>
      <c r="DK128" s="71" t="e">
        <f t="shared" si="89"/>
        <v>#REF!</v>
      </c>
      <c r="DL128" s="71" t="e">
        <f t="shared" si="89"/>
        <v>#REF!</v>
      </c>
      <c r="DM128" s="71" t="e">
        <f t="shared" si="89"/>
        <v>#REF!</v>
      </c>
      <c r="DN128" s="71" t="e">
        <f t="shared" si="89"/>
        <v>#REF!</v>
      </c>
      <c r="DO128" s="71" t="e">
        <f t="shared" si="89"/>
        <v>#REF!</v>
      </c>
      <c r="DP128" s="71" t="e">
        <f t="shared" si="89"/>
        <v>#REF!</v>
      </c>
      <c r="DQ128" s="72" t="s">
        <v>226</v>
      </c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73">
        <f>DP104+DQ104</f>
        <v>0</v>
      </c>
      <c r="ED128" s="71" t="e">
        <f t="shared" si="87"/>
        <v>#REF!</v>
      </c>
      <c r="EE128" s="71" t="e">
        <f t="shared" si="87"/>
        <v>#REF!</v>
      </c>
      <c r="EF128" s="71" t="e">
        <f t="shared" si="87"/>
        <v>#REF!</v>
      </c>
      <c r="EG128" s="71" t="e">
        <f t="shared" si="87"/>
        <v>#REF!</v>
      </c>
      <c r="EH128" s="71" t="e">
        <f t="shared" si="87"/>
        <v>#REF!</v>
      </c>
      <c r="EI128" s="19" t="s">
        <v>172</v>
      </c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6" t="s">
        <v>49</v>
      </c>
      <c r="EV128" s="6" t="s">
        <v>50</v>
      </c>
      <c r="EW128" s="6" t="s">
        <v>27</v>
      </c>
      <c r="EX128" s="6" t="s">
        <v>27</v>
      </c>
      <c r="EY128" s="6" t="s">
        <v>27</v>
      </c>
      <c r="EZ128" s="5"/>
      <c r="FA128" s="6" t="s">
        <v>51</v>
      </c>
      <c r="FB128" s="5"/>
      <c r="FC128" s="5"/>
      <c r="FD128" s="5"/>
      <c r="FE128" s="5"/>
      <c r="FF128" s="5"/>
      <c r="FG128" s="5"/>
      <c r="FH128" s="5"/>
      <c r="FI128" s="5"/>
      <c r="FJ128" s="5"/>
      <c r="FK128" s="6" t="s">
        <v>52</v>
      </c>
      <c r="FL128" s="5"/>
      <c r="FM128" s="6" t="s">
        <v>53</v>
      </c>
      <c r="FN128" s="6" t="s">
        <v>54</v>
      </c>
      <c r="FO128" s="6" t="s">
        <v>55</v>
      </c>
      <c r="FP128" s="6" t="s">
        <v>56</v>
      </c>
      <c r="FQ128" s="6" t="s">
        <v>57</v>
      </c>
      <c r="FR128" s="5"/>
      <c r="FS128" s="5"/>
      <c r="FT128" s="5"/>
      <c r="FU128" s="5"/>
      <c r="FV128" s="34" t="e">
        <f>#REF!</f>
        <v>#REF!</v>
      </c>
      <c r="FW128" s="34">
        <f>DF$62</f>
        <v>196</v>
      </c>
      <c r="FX128" s="34" t="e">
        <f>#REF!</f>
        <v>#REF!</v>
      </c>
      <c r="FY128" s="34">
        <v>391</v>
      </c>
      <c r="FZ128" s="34" t="e">
        <f>#REF!</f>
        <v>#REF!</v>
      </c>
      <c r="GA128" s="34" t="e">
        <f>#REF!</f>
        <v>#REF!</v>
      </c>
      <c r="GB128" s="11" t="s">
        <v>209</v>
      </c>
      <c r="GC128" s="8"/>
      <c r="GD128" s="8"/>
      <c r="GE128" s="8"/>
      <c r="GF128" s="8"/>
      <c r="GG128" s="8"/>
      <c r="GH128" s="11" t="s">
        <v>241</v>
      </c>
      <c r="GI128" s="8"/>
      <c r="GJ128" s="8"/>
      <c r="GK128" s="8"/>
      <c r="GL128" s="8"/>
      <c r="GM128" s="34" t="e">
        <f>GA128</f>
        <v>#REF!</v>
      </c>
      <c r="GN128" s="34" t="e">
        <f>FZ128</f>
        <v>#REF!</v>
      </c>
      <c r="GO128" s="34">
        <f>FY128</f>
        <v>391</v>
      </c>
      <c r="GP128" s="34" t="e">
        <f>FX128</f>
        <v>#REF!</v>
      </c>
      <c r="GQ128" s="34">
        <f>FW128</f>
        <v>196</v>
      </c>
      <c r="GR128" s="34" t="e">
        <f>FV128</f>
        <v>#REF!</v>
      </c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</row>
    <row r="129" spans="1:249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12"/>
      <c r="DD129" s="5"/>
      <c r="DE129" s="5"/>
      <c r="DF129" s="5"/>
      <c r="DG129" s="5"/>
      <c r="DH129" s="71" t="e">
        <f t="shared" ref="DH129:DP129" si="90">DH109/DH$107*100</f>
        <v>#REF!</v>
      </c>
      <c r="DI129" s="71" t="e">
        <f t="shared" si="90"/>
        <v>#REF!</v>
      </c>
      <c r="DJ129" s="71" t="e">
        <f t="shared" si="90"/>
        <v>#REF!</v>
      </c>
      <c r="DK129" s="71" t="e">
        <f t="shared" si="90"/>
        <v>#REF!</v>
      </c>
      <c r="DL129" s="71" t="e">
        <f t="shared" si="90"/>
        <v>#REF!</v>
      </c>
      <c r="DM129" s="71" t="e">
        <f t="shared" si="90"/>
        <v>#REF!</v>
      </c>
      <c r="DN129" s="71" t="e">
        <f t="shared" si="90"/>
        <v>#REF!</v>
      </c>
      <c r="DO129" s="71" t="e">
        <f t="shared" si="90"/>
        <v>#REF!</v>
      </c>
      <c r="DP129" s="71" t="e">
        <f t="shared" si="90"/>
        <v>#REF!</v>
      </c>
      <c r="DQ129" s="72" t="s">
        <v>155</v>
      </c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71" t="e">
        <f t="shared" si="87"/>
        <v>#REF!</v>
      </c>
      <c r="EE129" s="71" t="e">
        <f t="shared" si="87"/>
        <v>#REF!</v>
      </c>
      <c r="EF129" s="71" t="e">
        <f t="shared" si="87"/>
        <v>#REF!</v>
      </c>
      <c r="EG129" s="71" t="e">
        <f t="shared" si="87"/>
        <v>#REF!</v>
      </c>
      <c r="EH129" s="71" t="e">
        <f t="shared" si="87"/>
        <v>#REF!</v>
      </c>
      <c r="EI129" s="19" t="s">
        <v>262</v>
      </c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6" t="s">
        <v>65</v>
      </c>
      <c r="EV129" s="6" t="s">
        <v>66</v>
      </c>
      <c r="EW129" s="6" t="s">
        <v>67</v>
      </c>
      <c r="EX129" s="6" t="s">
        <v>68</v>
      </c>
      <c r="EY129" s="6" t="s">
        <v>244</v>
      </c>
      <c r="EZ129" s="6" t="s">
        <v>70</v>
      </c>
      <c r="FA129" s="6" t="s">
        <v>71</v>
      </c>
      <c r="FB129" s="6" t="s">
        <v>72</v>
      </c>
      <c r="FC129" s="6" t="s">
        <v>48</v>
      </c>
      <c r="FD129" s="5"/>
      <c r="FE129" s="6" t="s">
        <v>74</v>
      </c>
      <c r="FF129" s="5"/>
      <c r="FG129" s="5"/>
      <c r="FH129" s="5"/>
      <c r="FI129" s="5"/>
      <c r="FJ129" s="13" t="s">
        <v>75</v>
      </c>
      <c r="FK129" s="6" t="s">
        <v>76</v>
      </c>
      <c r="FL129" s="6" t="s">
        <v>77</v>
      </c>
      <c r="FM129" s="6" t="s">
        <v>76</v>
      </c>
      <c r="FN129" s="6" t="s">
        <v>76</v>
      </c>
      <c r="FO129" s="6" t="s">
        <v>76</v>
      </c>
      <c r="FP129" s="6" t="s">
        <v>78</v>
      </c>
      <c r="FQ129" s="13" t="s">
        <v>79</v>
      </c>
      <c r="FR129" s="5"/>
      <c r="FS129" s="5"/>
      <c r="FT129" s="5"/>
      <c r="FU129" s="5"/>
      <c r="FV129" s="34" t="e">
        <f>#REF!</f>
        <v>#REF!</v>
      </c>
      <c r="FW129" s="34" t="e">
        <f>#REF!</f>
        <v>#REF!</v>
      </c>
      <c r="FX129" s="34" t="e">
        <f>#REF!</f>
        <v>#REF!</v>
      </c>
      <c r="FY129" s="34">
        <v>823</v>
      </c>
      <c r="FZ129" s="34" t="e">
        <f>#REF!</f>
        <v>#REF!</v>
      </c>
      <c r="GA129" s="34">
        <f>DF$15</f>
        <v>0</v>
      </c>
      <c r="GB129" s="11" t="s">
        <v>189</v>
      </c>
      <c r="GC129" s="8"/>
      <c r="GD129" s="8"/>
      <c r="GE129" s="8"/>
      <c r="GF129" s="8"/>
      <c r="GG129" s="8"/>
      <c r="GH129" s="11" t="s">
        <v>192</v>
      </c>
      <c r="GI129" s="8"/>
      <c r="GJ129" s="8"/>
      <c r="GK129" s="8"/>
      <c r="GL129" s="8"/>
      <c r="GM129" s="34">
        <f>GA129</f>
        <v>0</v>
      </c>
      <c r="GN129" s="34" t="e">
        <f>FZ129</f>
        <v>#REF!</v>
      </c>
      <c r="GO129" s="34">
        <f>FY129</f>
        <v>823</v>
      </c>
      <c r="GP129" s="34" t="e">
        <f>FX129</f>
        <v>#REF!</v>
      </c>
      <c r="GQ129" s="34" t="e">
        <f>FW129</f>
        <v>#REF!</v>
      </c>
      <c r="GR129" s="34" t="e">
        <f>FV129</f>
        <v>#REF!</v>
      </c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</row>
    <row r="130" spans="1:249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12"/>
      <c r="DD130" s="5"/>
      <c r="DE130" s="5"/>
      <c r="DF130" s="5"/>
      <c r="DG130" s="5"/>
      <c r="DH130" s="71" t="e">
        <f t="shared" ref="DH130:DP130" si="91">DH110/DH$107*100</f>
        <v>#REF!</v>
      </c>
      <c r="DI130" s="71" t="e">
        <f t="shared" si="91"/>
        <v>#REF!</v>
      </c>
      <c r="DJ130" s="71" t="e">
        <f t="shared" si="91"/>
        <v>#REF!</v>
      </c>
      <c r="DK130" s="71" t="e">
        <f t="shared" si="91"/>
        <v>#REF!</v>
      </c>
      <c r="DL130" s="71" t="e">
        <f t="shared" si="91"/>
        <v>#REF!</v>
      </c>
      <c r="DM130" s="71" t="e">
        <f t="shared" si="91"/>
        <v>#REF!</v>
      </c>
      <c r="DN130" s="71" t="e">
        <f t="shared" si="91"/>
        <v>#REF!</v>
      </c>
      <c r="DO130" s="71" t="e">
        <f t="shared" si="91"/>
        <v>#REF!</v>
      </c>
      <c r="DP130" s="71" t="e">
        <f t="shared" si="91"/>
        <v>#REF!</v>
      </c>
      <c r="DQ130" s="72" t="s">
        <v>166</v>
      </c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71" t="e">
        <f t="shared" si="87"/>
        <v>#REF!</v>
      </c>
      <c r="EE130" s="71" t="e">
        <f t="shared" si="87"/>
        <v>#REF!</v>
      </c>
      <c r="EF130" s="71" t="e">
        <f t="shared" si="87"/>
        <v>#REF!</v>
      </c>
      <c r="EG130" s="71" t="e">
        <f t="shared" si="87"/>
        <v>#REF!</v>
      </c>
      <c r="EH130" s="71" t="e">
        <f t="shared" si="87"/>
        <v>#REF!</v>
      </c>
      <c r="EI130" s="19" t="s">
        <v>240</v>
      </c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6" t="s">
        <v>125</v>
      </c>
      <c r="FN130" s="5"/>
      <c r="FO130" s="5"/>
      <c r="FP130" s="5"/>
      <c r="FQ130" s="5"/>
      <c r="FR130" s="5"/>
      <c r="FS130" s="5"/>
      <c r="FT130" s="5"/>
      <c r="FU130" s="5"/>
      <c r="FV130" s="34"/>
      <c r="FW130" s="34"/>
      <c r="FX130" s="34"/>
      <c r="FY130" s="34"/>
      <c r="FZ130" s="34"/>
      <c r="GA130" s="34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34"/>
      <c r="GN130" s="34"/>
      <c r="GO130" s="34"/>
      <c r="GP130" s="34"/>
      <c r="GQ130" s="34"/>
      <c r="GR130" s="34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</row>
    <row r="131" spans="1:249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12"/>
      <c r="DD131" s="5"/>
      <c r="DE131" s="5"/>
      <c r="DF131" s="5"/>
      <c r="DG131" s="5"/>
      <c r="DH131" s="71" t="e">
        <f t="shared" ref="DH131:DP131" si="92">DH111/DH$107*100</f>
        <v>#REF!</v>
      </c>
      <c r="DI131" s="71" t="e">
        <f t="shared" si="92"/>
        <v>#REF!</v>
      </c>
      <c r="DJ131" s="71" t="e">
        <f t="shared" si="92"/>
        <v>#REF!</v>
      </c>
      <c r="DK131" s="71" t="e">
        <f t="shared" si="92"/>
        <v>#REF!</v>
      </c>
      <c r="DL131" s="71" t="e">
        <f t="shared" si="92"/>
        <v>#REF!</v>
      </c>
      <c r="DM131" s="71" t="e">
        <f t="shared" si="92"/>
        <v>#REF!</v>
      </c>
      <c r="DN131" s="71" t="e">
        <f t="shared" si="92"/>
        <v>#REF!</v>
      </c>
      <c r="DO131" s="71" t="e">
        <f t="shared" si="92"/>
        <v>#REF!</v>
      </c>
      <c r="DP131" s="71" t="e">
        <f t="shared" si="92"/>
        <v>#REF!</v>
      </c>
      <c r="DQ131" s="72" t="s">
        <v>172</v>
      </c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71" t="e">
        <f t="shared" si="87"/>
        <v>#REF!</v>
      </c>
      <c r="EE131" s="71" t="e">
        <f t="shared" si="87"/>
        <v>#REF!</v>
      </c>
      <c r="EF131" s="71" t="e">
        <f t="shared" si="87"/>
        <v>#REF!</v>
      </c>
      <c r="EG131" s="71" t="e">
        <f t="shared" si="87"/>
        <v>#REF!</v>
      </c>
      <c r="EH131" s="71" t="e">
        <f t="shared" si="87"/>
        <v>#REF!</v>
      </c>
      <c r="EI131" s="19" t="s">
        <v>217</v>
      </c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34">
        <f t="shared" ref="EU131:FA131" si="93">EU133+EU141+EU146+EU148+EU153+EU159+EU161</f>
        <v>760</v>
      </c>
      <c r="EV131" s="34">
        <f t="shared" si="93"/>
        <v>12250</v>
      </c>
      <c r="EW131" s="34">
        <f t="shared" si="93"/>
        <v>12820</v>
      </c>
      <c r="EX131" s="34">
        <f t="shared" si="93"/>
        <v>19110</v>
      </c>
      <c r="EY131" s="34">
        <f t="shared" si="93"/>
        <v>26100</v>
      </c>
      <c r="EZ131" s="34">
        <f t="shared" si="93"/>
        <v>10370</v>
      </c>
      <c r="FA131" s="34">
        <f t="shared" si="93"/>
        <v>20290</v>
      </c>
      <c r="FB131" s="34">
        <f>SUM(EU131:FA131)</f>
        <v>101700</v>
      </c>
      <c r="FC131" s="11" t="s">
        <v>64</v>
      </c>
      <c r="FD131" s="8"/>
      <c r="FE131" s="11" t="s">
        <v>101</v>
      </c>
      <c r="FF131" s="8"/>
      <c r="FG131" s="8"/>
      <c r="FH131" s="8"/>
      <c r="FI131" s="8"/>
      <c r="FJ131" s="8">
        <f>FB131</f>
        <v>101700</v>
      </c>
      <c r="FK131" s="8">
        <f>FA131</f>
        <v>20290</v>
      </c>
      <c r="FL131" s="8">
        <f>EZ131</f>
        <v>10370</v>
      </c>
      <c r="FM131" s="8">
        <f>EY131</f>
        <v>26100</v>
      </c>
      <c r="FN131" s="8">
        <f>EX131</f>
        <v>19110</v>
      </c>
      <c r="FO131" s="8">
        <f>EW131</f>
        <v>12820</v>
      </c>
      <c r="FP131" s="8">
        <f>EV131</f>
        <v>12250</v>
      </c>
      <c r="FQ131" s="8">
        <f>EU131</f>
        <v>760</v>
      </c>
      <c r="FR131" s="5"/>
      <c r="FS131" s="5"/>
      <c r="FT131" s="5"/>
      <c r="FU131" s="5"/>
      <c r="FV131" s="34" t="e">
        <f>#REF!</f>
        <v>#REF!</v>
      </c>
      <c r="FW131" s="34" t="e">
        <f>#REF!</f>
        <v>#REF!</v>
      </c>
      <c r="FX131" s="34" t="e">
        <f>#REF!</f>
        <v>#REF!</v>
      </c>
      <c r="FY131" s="34">
        <f>FY133+FY134+FY135</f>
        <v>3186</v>
      </c>
      <c r="FZ131" s="34" t="e">
        <f>#REF!</f>
        <v>#REF!</v>
      </c>
      <c r="GA131" s="34">
        <f>DF$30</f>
        <v>0</v>
      </c>
      <c r="GB131" s="11" t="s">
        <v>207</v>
      </c>
      <c r="GC131" s="8"/>
      <c r="GD131" s="8"/>
      <c r="GE131" s="8"/>
      <c r="GF131" s="8"/>
      <c r="GG131" s="8"/>
      <c r="GH131" s="11" t="s">
        <v>180</v>
      </c>
      <c r="GI131" s="8"/>
      <c r="GJ131" s="8"/>
      <c r="GK131" s="8"/>
      <c r="GL131" s="8"/>
      <c r="GM131" s="34">
        <f>GA131</f>
        <v>0</v>
      </c>
      <c r="GN131" s="34" t="e">
        <f>FZ131</f>
        <v>#REF!</v>
      </c>
      <c r="GO131" s="34">
        <f>FY131</f>
        <v>3186</v>
      </c>
      <c r="GP131" s="34" t="e">
        <f>FX131</f>
        <v>#REF!</v>
      </c>
      <c r="GQ131" s="34" t="e">
        <f>FW131</f>
        <v>#REF!</v>
      </c>
      <c r="GR131" s="34" t="e">
        <f>FV131</f>
        <v>#REF!</v>
      </c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</row>
    <row r="132" spans="1:249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12"/>
      <c r="DD132" s="5"/>
      <c r="DE132" s="5"/>
      <c r="DF132" s="5"/>
      <c r="DG132" s="5"/>
      <c r="DH132" s="71" t="e">
        <f t="shared" ref="DH132:DP132" si="94">DH112/DH$107*100</f>
        <v>#REF!</v>
      </c>
      <c r="DI132" s="71" t="e">
        <f t="shared" si="94"/>
        <v>#REF!</v>
      </c>
      <c r="DJ132" s="71" t="e">
        <f t="shared" si="94"/>
        <v>#REF!</v>
      </c>
      <c r="DK132" s="71" t="e">
        <f t="shared" si="94"/>
        <v>#REF!</v>
      </c>
      <c r="DL132" s="71" t="e">
        <f t="shared" si="94"/>
        <v>#REF!</v>
      </c>
      <c r="DM132" s="71" t="e">
        <f t="shared" si="94"/>
        <v>#REF!</v>
      </c>
      <c r="DN132" s="71" t="e">
        <f t="shared" si="94"/>
        <v>#REF!</v>
      </c>
      <c r="DO132" s="71" t="e">
        <f t="shared" si="94"/>
        <v>#REF!</v>
      </c>
      <c r="DP132" s="71" t="e">
        <f t="shared" si="94"/>
        <v>#REF!</v>
      </c>
      <c r="DQ132" s="72" t="s">
        <v>210</v>
      </c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71" t="e">
        <f t="shared" si="87"/>
        <v>#REF!</v>
      </c>
      <c r="EE132" s="71" t="e">
        <f t="shared" si="87"/>
        <v>#REF!</v>
      </c>
      <c r="EF132" s="71" t="e">
        <f t="shared" si="87"/>
        <v>#REF!</v>
      </c>
      <c r="EG132" s="71" t="e">
        <f t="shared" si="87"/>
        <v>#REF!</v>
      </c>
      <c r="EH132" s="71" t="e">
        <f t="shared" si="87"/>
        <v>#REF!</v>
      </c>
      <c r="EI132" s="19" t="s">
        <v>216</v>
      </c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34"/>
      <c r="EV132" s="34"/>
      <c r="EW132" s="34"/>
      <c r="EX132" s="34"/>
      <c r="EY132" s="34"/>
      <c r="EZ132" s="34"/>
      <c r="FA132" s="34"/>
      <c r="FB132" s="34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5"/>
      <c r="FS132" s="5"/>
      <c r="FT132" s="5"/>
      <c r="FU132" s="5"/>
      <c r="FV132" s="34"/>
      <c r="FW132" s="34"/>
      <c r="FX132" s="34"/>
      <c r="FY132" s="34"/>
      <c r="FZ132" s="34"/>
      <c r="GA132" s="34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34"/>
      <c r="GN132" s="34"/>
      <c r="GO132" s="34"/>
      <c r="GP132" s="34"/>
      <c r="GQ132" s="34"/>
      <c r="GR132" s="34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</row>
    <row r="133" spans="1:249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12"/>
      <c r="DD133" s="5"/>
      <c r="DE133" s="5"/>
      <c r="DF133" s="5"/>
      <c r="DG133" s="5"/>
      <c r="DH133" s="71" t="e">
        <f t="shared" ref="DH133:DP133" si="95">DH113/DH$107*100</f>
        <v>#REF!</v>
      </c>
      <c r="DI133" s="71" t="e">
        <f t="shared" si="95"/>
        <v>#REF!</v>
      </c>
      <c r="DJ133" s="71" t="e">
        <f t="shared" si="95"/>
        <v>#REF!</v>
      </c>
      <c r="DK133" s="71" t="e">
        <f t="shared" si="95"/>
        <v>#REF!</v>
      </c>
      <c r="DL133" s="71" t="e">
        <f t="shared" si="95"/>
        <v>#REF!</v>
      </c>
      <c r="DM133" s="71" t="e">
        <f t="shared" si="95"/>
        <v>#REF!</v>
      </c>
      <c r="DN133" s="71" t="e">
        <f t="shared" si="95"/>
        <v>#REF!</v>
      </c>
      <c r="DO133" s="71" t="e">
        <f t="shared" si="95"/>
        <v>#REF!</v>
      </c>
      <c r="DP133" s="71" t="e">
        <f t="shared" si="95"/>
        <v>#REF!</v>
      </c>
      <c r="DQ133" s="72" t="s">
        <v>211</v>
      </c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34">
        <f t="shared" ref="EU133:FA133" si="96">SUM(EU134:EU139)</f>
        <v>18</v>
      </c>
      <c r="EV133" s="34">
        <f t="shared" si="96"/>
        <v>2343</v>
      </c>
      <c r="EW133" s="34">
        <f t="shared" si="96"/>
        <v>5797</v>
      </c>
      <c r="EX133" s="34">
        <f t="shared" si="96"/>
        <v>7189</v>
      </c>
      <c r="EY133" s="34">
        <f t="shared" si="96"/>
        <v>7582</v>
      </c>
      <c r="EZ133" s="34">
        <f t="shared" si="96"/>
        <v>189</v>
      </c>
      <c r="FA133" s="34">
        <f t="shared" si="96"/>
        <v>6858</v>
      </c>
      <c r="FB133" s="34">
        <f>SUM(EU133:FA133)</f>
        <v>29976</v>
      </c>
      <c r="FC133" s="11" t="s">
        <v>130</v>
      </c>
      <c r="FD133" s="8"/>
      <c r="FE133" s="11" t="s">
        <v>139</v>
      </c>
      <c r="FF133" s="8"/>
      <c r="FG133" s="8"/>
      <c r="FH133" s="8"/>
      <c r="FI133" s="8"/>
      <c r="FJ133" s="8">
        <f>FB133</f>
        <v>29976</v>
      </c>
      <c r="FK133" s="8">
        <f>FA133</f>
        <v>6858</v>
      </c>
      <c r="FL133" s="8">
        <f>EZ133</f>
        <v>189</v>
      </c>
      <c r="FM133" s="8">
        <f>EY133</f>
        <v>7582</v>
      </c>
      <c r="FN133" s="8">
        <f>EX133</f>
        <v>7189</v>
      </c>
      <c r="FO133" s="8">
        <f>EW133</f>
        <v>5797</v>
      </c>
      <c r="FP133" s="8">
        <f>EV133</f>
        <v>2343</v>
      </c>
      <c r="FQ133" s="8">
        <f>EU133</f>
        <v>18</v>
      </c>
      <c r="FR133" s="5"/>
      <c r="FS133" s="5"/>
      <c r="FT133" s="5"/>
      <c r="FU133" s="5"/>
      <c r="FV133" s="34" t="e">
        <f>#REF!</f>
        <v>#REF!</v>
      </c>
      <c r="FW133" s="34" t="e">
        <f>#REF!</f>
        <v>#REF!</v>
      </c>
      <c r="FX133" s="34" t="e">
        <f>#REF!</f>
        <v>#REF!</v>
      </c>
      <c r="FY133" s="34">
        <v>1865</v>
      </c>
      <c r="FZ133" s="34" t="e">
        <f>#REF!</f>
        <v>#REF!</v>
      </c>
      <c r="GA133" s="34" t="e">
        <f>#REF!</f>
        <v>#REF!</v>
      </c>
      <c r="GB133" s="11" t="s">
        <v>210</v>
      </c>
      <c r="GC133" s="8"/>
      <c r="GD133" s="8"/>
      <c r="GE133" s="8"/>
      <c r="GF133" s="8"/>
      <c r="GG133" s="8"/>
      <c r="GH133" s="11" t="s">
        <v>212</v>
      </c>
      <c r="GI133" s="8"/>
      <c r="GJ133" s="8"/>
      <c r="GK133" s="8"/>
      <c r="GL133" s="8"/>
      <c r="GM133" s="34" t="e">
        <f>GA133</f>
        <v>#REF!</v>
      </c>
      <c r="GN133" s="34" t="e">
        <f>FZ133</f>
        <v>#REF!</v>
      </c>
      <c r="GO133" s="34">
        <f>FY133</f>
        <v>1865</v>
      </c>
      <c r="GP133" s="34" t="e">
        <f>FX133</f>
        <v>#REF!</v>
      </c>
      <c r="GQ133" s="34" t="e">
        <f>FW133</f>
        <v>#REF!</v>
      </c>
      <c r="GR133" s="34" t="e">
        <f>FV133</f>
        <v>#REF!</v>
      </c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</row>
    <row r="134" spans="1:249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12"/>
      <c r="DD134" s="5"/>
      <c r="DE134" s="5"/>
      <c r="DF134" s="5"/>
      <c r="DG134" s="5"/>
      <c r="DH134" s="71" t="e">
        <f t="shared" ref="DH134:DP134" si="97">DH114/DH$107*100</f>
        <v>#REF!</v>
      </c>
      <c r="DI134" s="71" t="e">
        <f t="shared" si="97"/>
        <v>#REF!</v>
      </c>
      <c r="DJ134" s="71" t="e">
        <f t="shared" si="97"/>
        <v>#REF!</v>
      </c>
      <c r="DK134" s="71" t="e">
        <f t="shared" si="97"/>
        <v>#REF!</v>
      </c>
      <c r="DL134" s="71" t="e">
        <f t="shared" si="97"/>
        <v>#REF!</v>
      </c>
      <c r="DM134" s="71" t="e">
        <f t="shared" si="97"/>
        <v>#REF!</v>
      </c>
      <c r="DN134" s="71" t="e">
        <f t="shared" si="97"/>
        <v>#REF!</v>
      </c>
      <c r="DO134" s="71" t="e">
        <f t="shared" si="97"/>
        <v>#REF!</v>
      </c>
      <c r="DP134" s="71" t="e">
        <f t="shared" si="97"/>
        <v>#REF!</v>
      </c>
      <c r="DQ134" s="72" t="s">
        <v>230</v>
      </c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6" t="s">
        <v>265</v>
      </c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34"/>
      <c r="EV134" s="34"/>
      <c r="EW134" s="34"/>
      <c r="EX134" s="34"/>
      <c r="EY134" s="34"/>
      <c r="EZ134" s="34"/>
      <c r="FA134" s="34"/>
      <c r="FB134" s="34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5"/>
      <c r="FS134" s="5"/>
      <c r="FT134" s="5"/>
      <c r="FU134" s="5"/>
      <c r="FV134" s="34" t="e">
        <f>#REF!</f>
        <v>#REF!</v>
      </c>
      <c r="FW134" s="34" t="e">
        <f>#REF!</f>
        <v>#REF!</v>
      </c>
      <c r="FX134" s="34" t="e">
        <f>#REF!</f>
        <v>#REF!</v>
      </c>
      <c r="FY134" s="34">
        <v>571</v>
      </c>
      <c r="FZ134" s="34" t="e">
        <f>#REF!</f>
        <v>#REF!</v>
      </c>
      <c r="GA134" s="34" t="e">
        <f>#REF!</f>
        <v>#REF!</v>
      </c>
      <c r="GB134" s="11" t="s">
        <v>211</v>
      </c>
      <c r="GC134" s="8"/>
      <c r="GD134" s="8"/>
      <c r="GE134" s="8"/>
      <c r="GF134" s="8"/>
      <c r="GG134" s="8"/>
      <c r="GH134" s="11" t="s">
        <v>214</v>
      </c>
      <c r="GI134" s="8"/>
      <c r="GJ134" s="8"/>
      <c r="GK134" s="8"/>
      <c r="GL134" s="8"/>
      <c r="GM134" s="34" t="e">
        <f>GA134</f>
        <v>#REF!</v>
      </c>
      <c r="GN134" s="34" t="e">
        <f>FZ134</f>
        <v>#REF!</v>
      </c>
      <c r="GO134" s="34">
        <f>FY134</f>
        <v>571</v>
      </c>
      <c r="GP134" s="34" t="e">
        <f>FX134</f>
        <v>#REF!</v>
      </c>
      <c r="GQ134" s="34" t="e">
        <f>FW134</f>
        <v>#REF!</v>
      </c>
      <c r="GR134" s="34" t="e">
        <f>FV134</f>
        <v>#REF!</v>
      </c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</row>
    <row r="135" spans="1:249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12"/>
      <c r="DD135" s="5"/>
      <c r="DE135" s="5"/>
      <c r="DF135" s="5"/>
      <c r="DG135" s="5"/>
      <c r="DH135" s="71" t="e">
        <f t="shared" ref="DH135:DP135" si="98">DH115/DH$107*100</f>
        <v>#REF!</v>
      </c>
      <c r="DI135" s="71" t="e">
        <f t="shared" si="98"/>
        <v>#REF!</v>
      </c>
      <c r="DJ135" s="71" t="e">
        <f t="shared" si="98"/>
        <v>#REF!</v>
      </c>
      <c r="DK135" s="71" t="e">
        <f t="shared" si="98"/>
        <v>#REF!</v>
      </c>
      <c r="DL135" s="71" t="e">
        <f t="shared" si="98"/>
        <v>#REF!</v>
      </c>
      <c r="DM135" s="71" t="e">
        <f t="shared" si="98"/>
        <v>#REF!</v>
      </c>
      <c r="DN135" s="71" t="e">
        <f t="shared" si="98"/>
        <v>#REF!</v>
      </c>
      <c r="DO135" s="71" t="e">
        <f t="shared" si="98"/>
        <v>#REF!</v>
      </c>
      <c r="DP135" s="71" t="e">
        <f t="shared" si="98"/>
        <v>#REF!</v>
      </c>
      <c r="DQ135" s="72" t="s">
        <v>216</v>
      </c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6" t="s">
        <v>186</v>
      </c>
      <c r="EF135" s="6" t="s">
        <v>86</v>
      </c>
      <c r="EG135" s="6" t="s">
        <v>85</v>
      </c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34" t="s">
        <v>124</v>
      </c>
      <c r="EV135" s="34">
        <v>1100</v>
      </c>
      <c r="EW135" s="34">
        <v>2932</v>
      </c>
      <c r="EX135" s="34">
        <v>2933</v>
      </c>
      <c r="EY135" s="34">
        <v>3438</v>
      </c>
      <c r="EZ135" s="34" t="s">
        <v>124</v>
      </c>
      <c r="FA135" s="34">
        <v>2381</v>
      </c>
      <c r="FB135" s="34">
        <f>SUM(EU135:FA135)</f>
        <v>12784</v>
      </c>
      <c r="FC135" s="11" t="s">
        <v>146</v>
      </c>
      <c r="FD135" s="8"/>
      <c r="FE135" s="11" t="s">
        <v>232</v>
      </c>
      <c r="FF135" s="8"/>
      <c r="FG135" s="8"/>
      <c r="FH135" s="8"/>
      <c r="FI135" s="8"/>
      <c r="FJ135" s="8">
        <f>FB135</f>
        <v>12784</v>
      </c>
      <c r="FK135" s="8">
        <f>FA135</f>
        <v>2381</v>
      </c>
      <c r="FL135" s="11" t="s">
        <v>124</v>
      </c>
      <c r="FM135" s="8">
        <f>EY135</f>
        <v>3438</v>
      </c>
      <c r="FN135" s="8">
        <f>EX135</f>
        <v>2933</v>
      </c>
      <c r="FO135" s="8">
        <f>EW135</f>
        <v>2932</v>
      </c>
      <c r="FP135" s="8">
        <f>EV135</f>
        <v>1100</v>
      </c>
      <c r="FQ135" s="11" t="s">
        <v>124</v>
      </c>
      <c r="FR135" s="5"/>
      <c r="FS135" s="5"/>
      <c r="FT135" s="5"/>
      <c r="FU135" s="5"/>
      <c r="FV135" s="34" t="e">
        <f>#REF!</f>
        <v>#REF!</v>
      </c>
      <c r="FW135" s="34" t="e">
        <f>#REF!</f>
        <v>#REF!</v>
      </c>
      <c r="FX135" s="34" t="e">
        <f>#REF!</f>
        <v>#REF!</v>
      </c>
      <c r="FY135" s="34">
        <v>750</v>
      </c>
      <c r="FZ135" s="34" t="e">
        <f>#REF!</f>
        <v>#REF!</v>
      </c>
      <c r="GA135" s="34" t="e">
        <f>#REF!</f>
        <v>#REF!</v>
      </c>
      <c r="GB135" s="11" t="s">
        <v>213</v>
      </c>
      <c r="GC135" s="8"/>
      <c r="GD135" s="8"/>
      <c r="GE135" s="8"/>
      <c r="GF135" s="8"/>
      <c r="GG135" s="8"/>
      <c r="GH135" s="11" t="s">
        <v>215</v>
      </c>
      <c r="GI135" s="8"/>
      <c r="GJ135" s="8"/>
      <c r="GK135" s="8"/>
      <c r="GL135" s="8"/>
      <c r="GM135" s="34" t="e">
        <f>GA135</f>
        <v>#REF!</v>
      </c>
      <c r="GN135" s="34" t="e">
        <f>FZ135</f>
        <v>#REF!</v>
      </c>
      <c r="GO135" s="34">
        <f>FY135</f>
        <v>750</v>
      </c>
      <c r="GP135" s="34" t="e">
        <f>FX135</f>
        <v>#REF!</v>
      </c>
      <c r="GQ135" s="34" t="e">
        <f>FW135</f>
        <v>#REF!</v>
      </c>
      <c r="GR135" s="34" t="e">
        <f>FV135</f>
        <v>#REF!</v>
      </c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</row>
    <row r="136" spans="1:249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12"/>
      <c r="DD136" s="5"/>
      <c r="DE136" s="5"/>
      <c r="DF136" s="5"/>
      <c r="DG136" s="5"/>
      <c r="DH136" s="5"/>
      <c r="DI136" s="5"/>
      <c r="DJ136" s="71"/>
      <c r="DK136" s="71"/>
      <c r="DL136" s="71"/>
      <c r="DM136" s="71"/>
      <c r="DN136" s="71"/>
      <c r="DO136" s="71"/>
      <c r="DP136" s="71"/>
      <c r="DQ136" s="71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147" t="e">
        <f>EB118</f>
        <v>#REF!</v>
      </c>
      <c r="EF136" s="147" t="e">
        <f>EF126</f>
        <v>#REF!</v>
      </c>
      <c r="EG136" s="147" t="e">
        <f>EE126</f>
        <v>#REF!</v>
      </c>
      <c r="EH136" s="6" t="s">
        <v>270</v>
      </c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34" t="s">
        <v>124</v>
      </c>
      <c r="EV136" s="34">
        <v>620</v>
      </c>
      <c r="EW136" s="34">
        <v>1536</v>
      </c>
      <c r="EX136" s="34">
        <v>1435</v>
      </c>
      <c r="EY136" s="34">
        <v>1082</v>
      </c>
      <c r="EZ136" s="34" t="s">
        <v>124</v>
      </c>
      <c r="FA136" s="34">
        <v>2332</v>
      </c>
      <c r="FB136" s="34">
        <f>SUM(EU136:FA136)</f>
        <v>7005</v>
      </c>
      <c r="FC136" s="11" t="s">
        <v>157</v>
      </c>
      <c r="FD136" s="8"/>
      <c r="FE136" s="11" t="s">
        <v>233</v>
      </c>
      <c r="FF136" s="8"/>
      <c r="FG136" s="8"/>
      <c r="FH136" s="8"/>
      <c r="FI136" s="8"/>
      <c r="FJ136" s="8">
        <f>FB136</f>
        <v>7005</v>
      </c>
      <c r="FK136" s="8">
        <f>FA136</f>
        <v>2332</v>
      </c>
      <c r="FL136" s="11" t="s">
        <v>124</v>
      </c>
      <c r="FM136" s="8">
        <f>EY136</f>
        <v>1082</v>
      </c>
      <c r="FN136" s="8">
        <f>EX136</f>
        <v>1435</v>
      </c>
      <c r="FO136" s="8">
        <f>EW136</f>
        <v>1536</v>
      </c>
      <c r="FP136" s="8">
        <f>EV136</f>
        <v>620</v>
      </c>
      <c r="FQ136" s="11" t="s">
        <v>124</v>
      </c>
      <c r="FR136" s="5"/>
      <c r="FS136" s="5"/>
      <c r="FT136" s="5"/>
      <c r="FU136" s="5"/>
      <c r="FV136" s="34"/>
      <c r="FW136" s="34"/>
      <c r="FX136" s="34"/>
      <c r="FY136" s="34"/>
      <c r="FZ136" s="34"/>
      <c r="GA136" s="34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34"/>
      <c r="GN136" s="34"/>
      <c r="GO136" s="34"/>
      <c r="GP136" s="34"/>
      <c r="GQ136" s="34"/>
      <c r="GR136" s="34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</row>
    <row r="137" spans="1:249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12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8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147" t="e">
        <f>EB119</f>
        <v>#REF!</v>
      </c>
      <c r="EF137" s="147" t="e">
        <f>EF127</f>
        <v>#REF!</v>
      </c>
      <c r="EG137" s="147" t="e">
        <f>EE127</f>
        <v>#REF!</v>
      </c>
      <c r="EH137" s="6" t="s">
        <v>276</v>
      </c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34">
        <v>18</v>
      </c>
      <c r="EV137" s="34">
        <v>623</v>
      </c>
      <c r="EW137" s="34">
        <v>957</v>
      </c>
      <c r="EX137" s="34">
        <v>2454</v>
      </c>
      <c r="EY137" s="34">
        <v>1399</v>
      </c>
      <c r="EZ137" s="34">
        <v>189</v>
      </c>
      <c r="FA137" s="34">
        <v>1508</v>
      </c>
      <c r="FB137" s="34">
        <f>SUM(EU137:FA137)</f>
        <v>7148</v>
      </c>
      <c r="FC137" s="11" t="s">
        <v>155</v>
      </c>
      <c r="FD137" s="8"/>
      <c r="FE137" s="11" t="s">
        <v>156</v>
      </c>
      <c r="FF137" s="8"/>
      <c r="FG137" s="8"/>
      <c r="FH137" s="8"/>
      <c r="FI137" s="8"/>
      <c r="FJ137" s="8">
        <f>FB137</f>
        <v>7148</v>
      </c>
      <c r="FK137" s="8">
        <f>FA137</f>
        <v>1508</v>
      </c>
      <c r="FL137" s="8">
        <f>EZ137</f>
        <v>189</v>
      </c>
      <c r="FM137" s="8">
        <f>EY137</f>
        <v>1399</v>
      </c>
      <c r="FN137" s="8">
        <f>EX137</f>
        <v>2454</v>
      </c>
      <c r="FO137" s="8">
        <f>EW137</f>
        <v>957</v>
      </c>
      <c r="FP137" s="8">
        <f>EV137</f>
        <v>623</v>
      </c>
      <c r="FQ137" s="8">
        <f>EU137</f>
        <v>18</v>
      </c>
      <c r="FR137" s="5"/>
      <c r="FS137" s="5"/>
      <c r="FT137" s="5"/>
      <c r="FU137" s="5"/>
      <c r="FV137" s="34" t="e">
        <f>#REF!</f>
        <v>#REF!</v>
      </c>
      <c r="FW137" s="34" t="e">
        <f>#REF!</f>
        <v>#REF!</v>
      </c>
      <c r="FX137" s="34" t="e">
        <f>#REF!</f>
        <v>#REF!</v>
      </c>
      <c r="FY137" s="34">
        <v>242</v>
      </c>
      <c r="FZ137" s="34" t="e">
        <f>#REF!</f>
        <v>#REF!</v>
      </c>
      <c r="GA137" s="34" t="e">
        <f>#REF!</f>
        <v>#REF!</v>
      </c>
      <c r="GB137" s="11" t="s">
        <v>217</v>
      </c>
      <c r="GC137" s="8"/>
      <c r="GD137" s="8"/>
      <c r="GE137" s="8"/>
      <c r="GF137" s="8"/>
      <c r="GG137" s="8"/>
      <c r="GH137" s="11" t="s">
        <v>181</v>
      </c>
      <c r="GI137" s="8"/>
      <c r="GJ137" s="8"/>
      <c r="GK137" s="8"/>
      <c r="GL137" s="8"/>
      <c r="GM137" s="34" t="e">
        <f>GA137</f>
        <v>#REF!</v>
      </c>
      <c r="GN137" s="34" t="e">
        <f>FZ137</f>
        <v>#REF!</v>
      </c>
      <c r="GO137" s="34">
        <f>FY137</f>
        <v>242</v>
      </c>
      <c r="GP137" s="34" t="e">
        <f>FX137</f>
        <v>#REF!</v>
      </c>
      <c r="GQ137" s="34" t="e">
        <f>FW137</f>
        <v>#REF!</v>
      </c>
      <c r="GR137" s="34" t="e">
        <f>FV137</f>
        <v>#REF!</v>
      </c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</row>
    <row r="138" spans="1:249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12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147" t="e">
        <f>EB120</f>
        <v>#REF!</v>
      </c>
      <c r="EF138" s="147" t="e">
        <f>EF128</f>
        <v>#REF!</v>
      </c>
      <c r="EG138" s="147" t="e">
        <f>EE128</f>
        <v>#REF!</v>
      </c>
      <c r="EH138" s="6" t="s">
        <v>172</v>
      </c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34" t="s">
        <v>124</v>
      </c>
      <c r="EV138" s="34" t="s">
        <v>124</v>
      </c>
      <c r="EW138" s="34">
        <v>344</v>
      </c>
      <c r="EX138" s="34">
        <v>189</v>
      </c>
      <c r="EY138" s="34">
        <v>1663</v>
      </c>
      <c r="EZ138" s="34" t="s">
        <v>124</v>
      </c>
      <c r="FA138" s="34">
        <v>453</v>
      </c>
      <c r="FB138" s="34">
        <f>SUM(EU138:FA138)</f>
        <v>2649</v>
      </c>
      <c r="FC138" s="11" t="s">
        <v>153</v>
      </c>
      <c r="FD138" s="8"/>
      <c r="FE138" s="11" t="s">
        <v>154</v>
      </c>
      <c r="FF138" s="8"/>
      <c r="FG138" s="8"/>
      <c r="FH138" s="8"/>
      <c r="FI138" s="8"/>
      <c r="FJ138" s="8">
        <f>FB138</f>
        <v>2649</v>
      </c>
      <c r="FK138" s="8">
        <f>FA138</f>
        <v>453</v>
      </c>
      <c r="FL138" s="11" t="s">
        <v>124</v>
      </c>
      <c r="FM138" s="8">
        <f>EY138</f>
        <v>1663</v>
      </c>
      <c r="FN138" s="8">
        <f>EX138</f>
        <v>189</v>
      </c>
      <c r="FO138" s="8">
        <f>EW138</f>
        <v>344</v>
      </c>
      <c r="FP138" s="11" t="s">
        <v>124</v>
      </c>
      <c r="FQ138" s="11" t="s">
        <v>124</v>
      </c>
      <c r="FR138" s="5"/>
      <c r="FS138" s="5"/>
      <c r="FT138" s="5"/>
      <c r="FU138" s="5"/>
      <c r="FV138" s="34"/>
      <c r="FW138" s="34"/>
      <c r="FX138" s="34"/>
      <c r="FY138" s="34"/>
      <c r="FZ138" s="34"/>
      <c r="GA138" s="34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34"/>
      <c r="GN138" s="34"/>
      <c r="GO138" s="34"/>
      <c r="GP138" s="34"/>
      <c r="GQ138" s="34"/>
      <c r="GR138" s="34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</row>
    <row r="139" spans="1:249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12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147" t="e">
        <f>EB121</f>
        <v>#REF!</v>
      </c>
      <c r="EF139" s="147" t="e">
        <f>EF129</f>
        <v>#REF!</v>
      </c>
      <c r="EG139" s="147" t="e">
        <f>EE129</f>
        <v>#REF!</v>
      </c>
      <c r="EH139" s="6" t="s">
        <v>185</v>
      </c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34" t="s">
        <v>124</v>
      </c>
      <c r="EV139" s="34" t="s">
        <v>124</v>
      </c>
      <c r="EW139" s="34">
        <v>28</v>
      </c>
      <c r="EX139" s="34">
        <v>178</v>
      </c>
      <c r="EY139" s="34" t="s">
        <v>124</v>
      </c>
      <c r="EZ139" s="34" t="s">
        <v>124</v>
      </c>
      <c r="FA139" s="34">
        <v>184</v>
      </c>
      <c r="FB139" s="34">
        <f>SUM(EU139:FA139)</f>
        <v>390</v>
      </c>
      <c r="FC139" s="11" t="s">
        <v>151</v>
      </c>
      <c r="FD139" s="8"/>
      <c r="FE139" s="11" t="s">
        <v>234</v>
      </c>
      <c r="FF139" s="8"/>
      <c r="FG139" s="8"/>
      <c r="FH139" s="8"/>
      <c r="FI139" s="8"/>
      <c r="FJ139" s="8">
        <f>FB139</f>
        <v>390</v>
      </c>
      <c r="FK139" s="8">
        <f>FA139</f>
        <v>184</v>
      </c>
      <c r="FL139" s="11" t="s">
        <v>124</v>
      </c>
      <c r="FM139" s="11" t="s">
        <v>124</v>
      </c>
      <c r="FN139" s="8">
        <f>EX139</f>
        <v>178</v>
      </c>
      <c r="FO139" s="8">
        <f>EW139</f>
        <v>28</v>
      </c>
      <c r="FP139" s="11" t="s">
        <v>124</v>
      </c>
      <c r="FQ139" s="11" t="s">
        <v>124</v>
      </c>
      <c r="FR139" s="5"/>
      <c r="FS139" s="5"/>
      <c r="FT139" s="5"/>
      <c r="FU139" s="5"/>
      <c r="FV139" s="34" t="e">
        <f>#REF!</f>
        <v>#REF!</v>
      </c>
      <c r="FW139" s="34" t="e">
        <f>#REF!</f>
        <v>#REF!</v>
      </c>
      <c r="FX139" s="34" t="e">
        <f>#REF!</f>
        <v>#REF!</v>
      </c>
      <c r="FY139" s="34">
        <v>2091</v>
      </c>
      <c r="FZ139" s="34" t="e">
        <f>#REF!</f>
        <v>#REF!</v>
      </c>
      <c r="GA139" s="34">
        <f>DF$36</f>
        <v>0</v>
      </c>
      <c r="GB139" s="11" t="s">
        <v>216</v>
      </c>
      <c r="GC139" s="8"/>
      <c r="GD139" s="8"/>
      <c r="GE139" s="8"/>
      <c r="GF139" s="8"/>
      <c r="GG139" s="8"/>
      <c r="GH139" s="11" t="s">
        <v>208</v>
      </c>
      <c r="GI139" s="8"/>
      <c r="GJ139" s="8"/>
      <c r="GK139" s="8"/>
      <c r="GL139" s="8"/>
      <c r="GM139" s="34">
        <f>GA139</f>
        <v>0</v>
      </c>
      <c r="GN139" s="34" t="e">
        <f>FZ139</f>
        <v>#REF!</v>
      </c>
      <c r="GO139" s="34">
        <f>FY139</f>
        <v>2091</v>
      </c>
      <c r="GP139" s="34" t="e">
        <f>FX139</f>
        <v>#REF!</v>
      </c>
      <c r="GQ139" s="34" t="e">
        <f>FW139</f>
        <v>#REF!</v>
      </c>
      <c r="GR139" s="34" t="e">
        <f>FV139</f>
        <v>#REF!</v>
      </c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</row>
    <row r="140" spans="1:249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12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147" t="e">
        <f>EB122+EB123</f>
        <v>#REF!</v>
      </c>
      <c r="EF140" s="147" t="e">
        <f>EF130+EF131</f>
        <v>#REF!</v>
      </c>
      <c r="EG140" s="147" t="e">
        <f>EE130+EE131</f>
        <v>#REF!</v>
      </c>
      <c r="EH140" s="6" t="s">
        <v>279</v>
      </c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34"/>
      <c r="EV140" s="34"/>
      <c r="EW140" s="34"/>
      <c r="EX140" s="34"/>
      <c r="EY140" s="34"/>
      <c r="EZ140" s="34"/>
      <c r="FA140" s="34"/>
      <c r="FB140" s="34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</row>
    <row r="141" spans="1:249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6" t="s">
        <v>243</v>
      </c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12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147" t="e">
        <f>EB124</f>
        <v>#REF!</v>
      </c>
      <c r="EF141" s="147" t="e">
        <f>EF132</f>
        <v>#REF!</v>
      </c>
      <c r="EG141" s="147" t="e">
        <f>EE132</f>
        <v>#REF!</v>
      </c>
      <c r="EH141" s="6" t="s">
        <v>242</v>
      </c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34" t="s">
        <v>124</v>
      </c>
      <c r="EV141" s="34">
        <f t="shared" ref="EV141:FA141" si="99">EV143+EV144</f>
        <v>4758</v>
      </c>
      <c r="EW141" s="34">
        <f t="shared" si="99"/>
        <v>4677</v>
      </c>
      <c r="EX141" s="34">
        <f t="shared" si="99"/>
        <v>8967</v>
      </c>
      <c r="EY141" s="34">
        <f t="shared" si="99"/>
        <v>8220</v>
      </c>
      <c r="EZ141" s="34">
        <f t="shared" si="99"/>
        <v>425</v>
      </c>
      <c r="FA141" s="34">
        <f t="shared" si="99"/>
        <v>5068</v>
      </c>
      <c r="FB141" s="34">
        <f>SUM(EU141:FA141)</f>
        <v>32115</v>
      </c>
      <c r="FC141" s="11" t="s">
        <v>166</v>
      </c>
      <c r="FD141" s="8"/>
      <c r="FE141" s="11" t="s">
        <v>218</v>
      </c>
      <c r="FF141" s="8"/>
      <c r="FG141" s="8"/>
      <c r="FH141" s="8"/>
      <c r="FI141" s="8"/>
      <c r="FJ141" s="8">
        <f>FB141</f>
        <v>32115</v>
      </c>
      <c r="FK141" s="8">
        <f>FA141</f>
        <v>5068</v>
      </c>
      <c r="FL141" s="8">
        <f>EZ141</f>
        <v>425</v>
      </c>
      <c r="FM141" s="8">
        <f>EY141</f>
        <v>8220</v>
      </c>
      <c r="FN141" s="8">
        <f>EX141</f>
        <v>8967</v>
      </c>
      <c r="FO141" s="8">
        <f>EW141</f>
        <v>4677</v>
      </c>
      <c r="FP141" s="8">
        <f>EV141</f>
        <v>4758</v>
      </c>
      <c r="FQ141" s="11" t="s">
        <v>124</v>
      </c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6" t="s">
        <v>221</v>
      </c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</row>
    <row r="142" spans="1:249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6" t="s">
        <v>245</v>
      </c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6" t="s">
        <v>246</v>
      </c>
      <c r="CW142" s="5"/>
      <c r="CX142" s="5"/>
      <c r="CY142" s="5"/>
      <c r="CZ142" s="5"/>
      <c r="DA142" s="5"/>
      <c r="DB142" s="5"/>
      <c r="DC142" s="12"/>
      <c r="DD142" s="5"/>
      <c r="DE142" s="5"/>
      <c r="DF142" s="5"/>
      <c r="DG142" s="5"/>
      <c r="DH142" s="5"/>
      <c r="DI142" s="5"/>
      <c r="DJ142" s="6" t="s">
        <v>267</v>
      </c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82" t="e">
        <f>SUM(EE136:EE141)</f>
        <v>#REF!</v>
      </c>
      <c r="EF142" s="82" t="e">
        <f>SUM(EF136:EF141)</f>
        <v>#REF!</v>
      </c>
      <c r="EG142" s="82" t="e">
        <f>SUM(EG136:EG141)</f>
        <v>#REF!</v>
      </c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34"/>
      <c r="EV142" s="34"/>
      <c r="EW142" s="34"/>
      <c r="EX142" s="34"/>
      <c r="EY142" s="34"/>
      <c r="EZ142" s="34"/>
      <c r="FA142" s="34"/>
      <c r="FB142" s="34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5"/>
      <c r="FS142" s="5"/>
      <c r="FT142" s="5"/>
      <c r="FU142" s="5"/>
      <c r="FV142" s="18"/>
      <c r="FW142" s="5"/>
      <c r="FX142" s="6" t="s">
        <v>231</v>
      </c>
      <c r="FY142" s="5"/>
      <c r="FZ142" s="5"/>
      <c r="GA142" s="5"/>
      <c r="GB142" s="5"/>
      <c r="GC142" s="5"/>
      <c r="GD142" s="5"/>
      <c r="GE142" s="5"/>
      <c r="GF142" s="5"/>
      <c r="GG142" s="5"/>
      <c r="GH142" s="6" t="s">
        <v>222</v>
      </c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</row>
    <row r="143" spans="1:249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6" t="s">
        <v>35</v>
      </c>
      <c r="CL143" s="5"/>
      <c r="CM143" s="5"/>
      <c r="CN143" s="5"/>
      <c r="CO143" s="5"/>
      <c r="CP143" s="5"/>
      <c r="CQ143" s="5"/>
      <c r="CR143" s="6" t="s">
        <v>247</v>
      </c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12"/>
      <c r="DD143" s="5"/>
      <c r="DE143" s="5"/>
      <c r="DF143" s="5"/>
      <c r="DG143" s="5"/>
      <c r="DH143" s="5"/>
      <c r="DI143" s="5"/>
      <c r="DJ143" s="6" t="s">
        <v>271</v>
      </c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34" t="s">
        <v>124</v>
      </c>
      <c r="EV143" s="34">
        <v>2772</v>
      </c>
      <c r="EW143" s="34">
        <v>4677</v>
      </c>
      <c r="EX143" s="34">
        <v>7847</v>
      </c>
      <c r="EY143" s="34">
        <v>4383</v>
      </c>
      <c r="EZ143" s="34">
        <v>248</v>
      </c>
      <c r="FA143" s="34">
        <v>3841</v>
      </c>
      <c r="FB143" s="34">
        <f>SUM(EU143:FA143)</f>
        <v>23768</v>
      </c>
      <c r="FC143" s="11" t="s">
        <v>164</v>
      </c>
      <c r="FD143" s="8"/>
      <c r="FE143" s="11" t="s">
        <v>165</v>
      </c>
      <c r="FF143" s="8"/>
      <c r="FG143" s="8"/>
      <c r="FH143" s="8"/>
      <c r="FI143" s="8"/>
      <c r="FJ143" s="8">
        <f>FB143</f>
        <v>23768</v>
      </c>
      <c r="FK143" s="8">
        <f>FA143</f>
        <v>3841</v>
      </c>
      <c r="FL143" s="8">
        <f>EZ143</f>
        <v>248</v>
      </c>
      <c r="FM143" s="8">
        <f>EY143</f>
        <v>4383</v>
      </c>
      <c r="FN143" s="8">
        <f>EX143</f>
        <v>7847</v>
      </c>
      <c r="FO143" s="8">
        <f>EW143</f>
        <v>4677</v>
      </c>
      <c r="FP143" s="8">
        <f>EV143</f>
        <v>2772</v>
      </c>
      <c r="FQ143" s="11" t="s">
        <v>124</v>
      </c>
      <c r="FR143" s="5"/>
      <c r="FS143" s="5"/>
      <c r="FT143" s="5"/>
      <c r="FU143" s="5"/>
      <c r="FV143" s="6" t="s">
        <v>219</v>
      </c>
      <c r="FW143" s="5"/>
      <c r="FX143" s="18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</row>
    <row r="144" spans="1:249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6" t="s">
        <v>116</v>
      </c>
      <c r="CW144" s="5"/>
      <c r="CX144" s="5"/>
      <c r="CY144" s="5"/>
      <c r="CZ144" s="5"/>
      <c r="DA144" s="5"/>
      <c r="DB144" s="5"/>
      <c r="DC144" s="12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34" t="s">
        <v>124</v>
      </c>
      <c r="EV144" s="34">
        <v>1986</v>
      </c>
      <c r="EW144" s="34" t="s">
        <v>124</v>
      </c>
      <c r="EX144" s="34">
        <v>1120</v>
      </c>
      <c r="EY144" s="34">
        <v>3837</v>
      </c>
      <c r="EZ144" s="34">
        <v>177</v>
      </c>
      <c r="FA144" s="34">
        <v>1227</v>
      </c>
      <c r="FB144" s="34">
        <f>SUM(EU144:FA144)</f>
        <v>8347</v>
      </c>
      <c r="FC144" s="11" t="s">
        <v>162</v>
      </c>
      <c r="FD144" s="8"/>
      <c r="FE144" s="11" t="s">
        <v>169</v>
      </c>
      <c r="FF144" s="8"/>
      <c r="FG144" s="8"/>
      <c r="FH144" s="8"/>
      <c r="FI144" s="8"/>
      <c r="FJ144" s="8">
        <f>FB144</f>
        <v>8347</v>
      </c>
      <c r="FK144" s="8">
        <f>FA144</f>
        <v>1227</v>
      </c>
      <c r="FL144" s="8">
        <f>EZ144</f>
        <v>177</v>
      </c>
      <c r="FM144" s="8">
        <f>EY144</f>
        <v>3837</v>
      </c>
      <c r="FN144" s="8">
        <f>EX144</f>
        <v>1120</v>
      </c>
      <c r="FO144" s="11" t="s">
        <v>124</v>
      </c>
      <c r="FP144" s="11" t="s">
        <v>124</v>
      </c>
      <c r="FQ144" s="11" t="s">
        <v>124</v>
      </c>
      <c r="FR144" s="5"/>
      <c r="FS144" s="5"/>
      <c r="FT144" s="5"/>
      <c r="FU144" s="5"/>
      <c r="FV144" s="5"/>
      <c r="FW144" s="18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</row>
    <row r="145" spans="1:249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6" t="s">
        <v>15</v>
      </c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6" t="s">
        <v>16</v>
      </c>
      <c r="CW145" s="5"/>
      <c r="CX145" s="5"/>
      <c r="CY145" s="5"/>
      <c r="CZ145" s="5"/>
      <c r="DA145" s="5"/>
      <c r="DB145" s="5"/>
      <c r="DC145" s="12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19" t="s">
        <v>86</v>
      </c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34"/>
      <c r="EV145" s="34"/>
      <c r="EW145" s="34"/>
      <c r="EX145" s="34"/>
      <c r="EY145" s="34"/>
      <c r="EZ145" s="34"/>
      <c r="FA145" s="34"/>
      <c r="FB145" s="34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5"/>
      <c r="FS145" s="5"/>
      <c r="FT145" s="5"/>
      <c r="FU145" s="5"/>
      <c r="FV145" s="8"/>
      <c r="FW145" s="5"/>
      <c r="FX145" s="5"/>
      <c r="FY145" s="5"/>
      <c r="FZ145" s="5"/>
      <c r="GA145" s="5"/>
      <c r="GB145" s="5"/>
      <c r="GC145" s="5"/>
      <c r="GD145" s="8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</row>
    <row r="146" spans="1:249" ht="19.5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6" t="s">
        <v>30</v>
      </c>
      <c r="CL146" s="6" t="s">
        <v>31</v>
      </c>
      <c r="CM146" s="5"/>
      <c r="CN146" s="5"/>
      <c r="CO146" s="5"/>
      <c r="CP146" s="5"/>
      <c r="CQ146" s="5"/>
      <c r="CR146" s="5"/>
      <c r="CS146" s="5"/>
      <c r="CT146" s="5"/>
      <c r="CU146" s="17"/>
      <c r="CV146" s="13" t="s">
        <v>22</v>
      </c>
      <c r="CW146" s="17"/>
      <c r="CX146" s="17"/>
      <c r="CY146" s="17"/>
      <c r="CZ146" s="17"/>
      <c r="DA146" s="5"/>
      <c r="DB146" s="5"/>
      <c r="DC146" s="12"/>
      <c r="DD146" s="5"/>
      <c r="DE146" s="5"/>
      <c r="DF146" s="5"/>
      <c r="DG146" s="5"/>
      <c r="DH146" s="6" t="s">
        <v>37</v>
      </c>
      <c r="DI146" s="6" t="s">
        <v>161</v>
      </c>
      <c r="DJ146" s="6" t="s">
        <v>39</v>
      </c>
      <c r="DK146" s="19" t="s">
        <v>7</v>
      </c>
      <c r="DL146" s="19" t="s">
        <v>40</v>
      </c>
      <c r="DM146" s="19" t="s">
        <v>41</v>
      </c>
      <c r="DN146" s="19" t="s">
        <v>42</v>
      </c>
      <c r="DO146" s="19" t="s">
        <v>43</v>
      </c>
      <c r="DP146" s="19" t="s">
        <v>44</v>
      </c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34" t="s">
        <v>124</v>
      </c>
      <c r="EV146" s="34" t="s">
        <v>124</v>
      </c>
      <c r="EW146" s="34">
        <v>468</v>
      </c>
      <c r="EX146" s="34">
        <v>945</v>
      </c>
      <c r="EY146" s="34">
        <v>1977</v>
      </c>
      <c r="EZ146" s="34" t="s">
        <v>124</v>
      </c>
      <c r="FA146" s="34">
        <v>1298</v>
      </c>
      <c r="FB146" s="34">
        <f>SUM(EU146:FA146)</f>
        <v>4688</v>
      </c>
      <c r="FC146" s="11" t="s">
        <v>172</v>
      </c>
      <c r="FD146" s="8"/>
      <c r="FE146" s="11" t="s">
        <v>163</v>
      </c>
      <c r="FF146" s="8"/>
      <c r="FG146" s="8"/>
      <c r="FH146" s="8"/>
      <c r="FI146" s="8"/>
      <c r="FJ146" s="8">
        <f>FB146</f>
        <v>4688</v>
      </c>
      <c r="FK146" s="8">
        <f>FA146</f>
        <v>1298</v>
      </c>
      <c r="FL146" s="11" t="s">
        <v>124</v>
      </c>
      <c r="FM146" s="8">
        <f>EY146</f>
        <v>1977</v>
      </c>
      <c r="FN146" s="8">
        <f>EX146</f>
        <v>945</v>
      </c>
      <c r="FO146" s="8">
        <f>EW146</f>
        <v>468</v>
      </c>
      <c r="FP146" s="11" t="s">
        <v>124</v>
      </c>
      <c r="FQ146" s="11" t="s">
        <v>124</v>
      </c>
      <c r="FR146" s="5"/>
      <c r="FS146" s="5"/>
      <c r="FT146" s="5"/>
      <c r="FU146" s="5"/>
      <c r="FV146" s="8"/>
      <c r="FW146" s="5"/>
      <c r="FX146" s="148"/>
      <c r="FY146" s="148"/>
      <c r="FZ146" s="149" t="s">
        <v>280</v>
      </c>
      <c r="GB146" s="5"/>
      <c r="GC146" s="5"/>
      <c r="GD146" s="8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</row>
    <row r="147" spans="1:249" ht="19.5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17"/>
      <c r="CV147" s="17"/>
      <c r="CW147" s="17"/>
      <c r="CX147" s="17"/>
      <c r="CY147" s="17"/>
      <c r="CZ147" s="17"/>
      <c r="DA147" s="5"/>
      <c r="DB147" s="5"/>
      <c r="DC147" s="12"/>
      <c r="DD147" s="5"/>
      <c r="DE147" s="5"/>
      <c r="DF147" s="5"/>
      <c r="DG147" s="5"/>
      <c r="DH147" s="19" t="e">
        <f t="shared" ref="DH147:DP147" si="100">SUM(DH148:DH155)</f>
        <v>#REF!</v>
      </c>
      <c r="DI147" s="19" t="e">
        <f t="shared" si="100"/>
        <v>#REF!</v>
      </c>
      <c r="DJ147" s="19" t="e">
        <f t="shared" si="100"/>
        <v>#REF!</v>
      </c>
      <c r="DK147" s="19" t="e">
        <f t="shared" si="100"/>
        <v>#REF!</v>
      </c>
      <c r="DL147" s="19" t="e">
        <f t="shared" si="100"/>
        <v>#REF!</v>
      </c>
      <c r="DM147" s="19" t="e">
        <f t="shared" si="100"/>
        <v>#REF!</v>
      </c>
      <c r="DN147" s="19" t="e">
        <f t="shared" si="100"/>
        <v>#REF!</v>
      </c>
      <c r="DO147" s="19" t="e">
        <f t="shared" si="100"/>
        <v>#REF!</v>
      </c>
      <c r="DP147" s="19" t="e">
        <f t="shared" si="100"/>
        <v>#REF!</v>
      </c>
      <c r="DQ147" s="6" t="s">
        <v>72</v>
      </c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34"/>
      <c r="EV147" s="34"/>
      <c r="EW147" s="34"/>
      <c r="EX147" s="34"/>
      <c r="EY147" s="34"/>
      <c r="EZ147" s="34"/>
      <c r="FA147" s="34"/>
      <c r="FB147" s="34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5"/>
      <c r="FS147" s="5"/>
      <c r="FT147" s="5"/>
      <c r="FU147" s="5"/>
      <c r="FV147" s="8"/>
      <c r="FW147" s="5"/>
      <c r="FX147" s="150" t="s">
        <v>281</v>
      </c>
      <c r="FY147" s="148"/>
      <c r="FZ147" s="148"/>
      <c r="GB147" s="5"/>
      <c r="GC147" s="5"/>
      <c r="GD147" s="8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</row>
    <row r="148" spans="1:249" ht="19.5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6" t="s">
        <v>31</v>
      </c>
      <c r="CJ148" s="6" t="s">
        <v>31</v>
      </c>
      <c r="CK148" s="6" t="s">
        <v>32</v>
      </c>
      <c r="CL148" s="5"/>
      <c r="CM148" s="5"/>
      <c r="CN148" s="5"/>
      <c r="CO148" s="5"/>
      <c r="CP148" s="5"/>
      <c r="CQ148" s="5"/>
      <c r="CR148" s="5"/>
      <c r="CS148" s="5"/>
      <c r="CT148" s="5"/>
      <c r="CU148" s="13" t="s">
        <v>60</v>
      </c>
      <c r="CV148" s="17"/>
      <c r="CW148" s="13" t="s">
        <v>33</v>
      </c>
      <c r="CX148" s="13" t="s">
        <v>62</v>
      </c>
      <c r="CY148" s="17"/>
      <c r="CZ148" s="5"/>
      <c r="DA148" s="5"/>
      <c r="DB148" s="5"/>
      <c r="DC148" s="12"/>
      <c r="DD148" s="5"/>
      <c r="DE148" s="5"/>
      <c r="DF148" s="5"/>
      <c r="DG148" s="5"/>
      <c r="DH148" s="19" t="e">
        <f>#REF!-DH149-2</f>
        <v>#REF!</v>
      </c>
      <c r="DI148" s="19" t="e">
        <f>#REF!-DI149-3</f>
        <v>#REF!</v>
      </c>
      <c r="DJ148" s="19" t="e">
        <f>#REF!-DJ149-3</f>
        <v>#REF!</v>
      </c>
      <c r="DK148" s="19" t="e">
        <f>#REF!-DK149-1</f>
        <v>#REF!</v>
      </c>
      <c r="DL148" s="19" t="e">
        <f>#REF!-DL149-2</f>
        <v>#REF!</v>
      </c>
      <c r="DM148" s="19" t="e">
        <f>#REF!-DM149-2</f>
        <v>#REF!</v>
      </c>
      <c r="DN148" s="19" t="e">
        <f>#REF!-DN149-2</f>
        <v>#REF!</v>
      </c>
      <c r="DO148" s="19" t="e">
        <f>#REF!-DO149-2</f>
        <v>#REF!</v>
      </c>
      <c r="DP148" s="19" t="e">
        <f>#REF!-DP149-2</f>
        <v>#REF!</v>
      </c>
      <c r="DQ148" s="11" t="s">
        <v>226</v>
      </c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34" t="s">
        <v>124</v>
      </c>
      <c r="EV148" s="34">
        <f>EV150+EV151</f>
        <v>886</v>
      </c>
      <c r="EW148" s="34">
        <f>EW150+EW151</f>
        <v>226</v>
      </c>
      <c r="EX148" s="34" t="s">
        <v>124</v>
      </c>
      <c r="EY148" s="34">
        <f>EY150+EY151</f>
        <v>2756</v>
      </c>
      <c r="EZ148" s="34">
        <f>EZ150+EZ151</f>
        <v>955</v>
      </c>
      <c r="FA148" s="34">
        <f>FA150+FA151</f>
        <v>2453</v>
      </c>
      <c r="FB148" s="34">
        <f>SUM(EU148:FA148)</f>
        <v>7276</v>
      </c>
      <c r="FC148" s="11" t="s">
        <v>179</v>
      </c>
      <c r="FD148" s="8"/>
      <c r="FE148" s="11" t="s">
        <v>168</v>
      </c>
      <c r="FF148" s="8"/>
      <c r="FG148" s="8"/>
      <c r="FH148" s="8"/>
      <c r="FI148" s="8"/>
      <c r="FJ148" s="8">
        <f>FB148</f>
        <v>7276</v>
      </c>
      <c r="FK148" s="8">
        <f>FA148</f>
        <v>2453</v>
      </c>
      <c r="FL148" s="8">
        <f>EZ148</f>
        <v>955</v>
      </c>
      <c r="FM148" s="8">
        <f>EY148</f>
        <v>2756</v>
      </c>
      <c r="FN148" s="11" t="s">
        <v>124</v>
      </c>
      <c r="FO148" s="8">
        <f>EW148</f>
        <v>226</v>
      </c>
      <c r="FP148" s="8">
        <f>EV148</f>
        <v>886</v>
      </c>
      <c r="FQ148" s="11" t="s">
        <v>124</v>
      </c>
      <c r="FR148" s="5"/>
      <c r="FS148" s="5"/>
      <c r="FT148" s="5"/>
      <c r="FU148" s="5"/>
      <c r="FV148" s="8"/>
      <c r="FW148" s="5"/>
      <c r="FX148" s="148"/>
      <c r="FY148" s="150" t="s">
        <v>282</v>
      </c>
      <c r="FZ148" s="148"/>
      <c r="GB148" s="5"/>
      <c r="GC148" s="8"/>
      <c r="GD148" s="8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</row>
    <row r="149" spans="1:249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6" t="s">
        <v>84</v>
      </c>
      <c r="CI149" s="6" t="s">
        <v>95</v>
      </c>
      <c r="CJ149" s="6" t="s">
        <v>96</v>
      </c>
      <c r="CK149" s="6" t="s">
        <v>97</v>
      </c>
      <c r="CL149" s="6" t="s">
        <v>72</v>
      </c>
      <c r="CM149" s="6" t="s">
        <v>64</v>
      </c>
      <c r="CN149" s="6" t="s">
        <v>23</v>
      </c>
      <c r="CO149" s="5"/>
      <c r="CP149" s="5"/>
      <c r="CQ149" s="6" t="s">
        <v>24</v>
      </c>
      <c r="CR149" s="5"/>
      <c r="CS149" s="5"/>
      <c r="CT149" s="5"/>
      <c r="CU149" s="13" t="s">
        <v>88</v>
      </c>
      <c r="CV149" s="13" t="s">
        <v>75</v>
      </c>
      <c r="CW149" s="13" t="s">
        <v>98</v>
      </c>
      <c r="CX149" s="13" t="s">
        <v>90</v>
      </c>
      <c r="CY149" s="13" t="s">
        <v>91</v>
      </c>
      <c r="CZ149" s="13" t="s">
        <v>92</v>
      </c>
      <c r="DA149" s="5"/>
      <c r="DB149" s="5"/>
      <c r="DC149" s="12"/>
      <c r="DD149" s="5"/>
      <c r="DE149" s="5"/>
      <c r="DF149" s="5"/>
      <c r="DG149" s="5"/>
      <c r="DH149" s="19" t="e">
        <f>#REF!-3</f>
        <v>#REF!</v>
      </c>
      <c r="DI149" s="19" t="e">
        <f>#REF!-3</f>
        <v>#REF!</v>
      </c>
      <c r="DJ149" s="19" t="e">
        <f>#REF!-3</f>
        <v>#REF!</v>
      </c>
      <c r="DK149" s="19" t="e">
        <f>#REF!-1</f>
        <v>#REF!</v>
      </c>
      <c r="DL149" s="19" t="e">
        <f>#REF!-2</f>
        <v>#REF!</v>
      </c>
      <c r="DM149" s="19" t="e">
        <f>#REF!-2</f>
        <v>#REF!</v>
      </c>
      <c r="DN149" s="19" t="e">
        <f>#REF!-2</f>
        <v>#REF!</v>
      </c>
      <c r="DO149" s="19" t="e">
        <f>#REF!-2</f>
        <v>#REF!</v>
      </c>
      <c r="DP149" s="19" t="e">
        <f>#REF!-2</f>
        <v>#REF!</v>
      </c>
      <c r="DQ149" s="11" t="s">
        <v>155</v>
      </c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34"/>
      <c r="EV149" s="34"/>
      <c r="EW149" s="34"/>
      <c r="EX149" s="34"/>
      <c r="EY149" s="34"/>
      <c r="EZ149" s="34"/>
      <c r="FA149" s="34"/>
      <c r="FB149" s="34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5"/>
      <c r="FS149" s="5"/>
      <c r="FT149" s="5"/>
      <c r="FU149" s="5"/>
      <c r="FV149" s="8"/>
      <c r="FW149" s="5"/>
      <c r="FX149" s="5"/>
      <c r="FY149" s="5"/>
      <c r="FZ149" s="5"/>
      <c r="GA149" s="5"/>
      <c r="GB149" s="5"/>
      <c r="GC149" s="8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</row>
    <row r="150" spans="1:249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6" t="s">
        <v>248</v>
      </c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6" t="s">
        <v>249</v>
      </c>
      <c r="CX150" s="5"/>
      <c r="CY150" s="5"/>
      <c r="CZ150" s="5"/>
      <c r="DA150" s="5"/>
      <c r="DB150" s="5"/>
      <c r="DC150" s="12"/>
      <c r="DD150" s="5"/>
      <c r="DE150" s="5"/>
      <c r="DF150" s="5"/>
      <c r="DG150" s="5"/>
      <c r="DH150" s="19" t="e">
        <f>#REF!</f>
        <v>#REF!</v>
      </c>
      <c r="DI150" s="19" t="e">
        <f>#REF!</f>
        <v>#REF!</v>
      </c>
      <c r="DJ150" s="19" t="e">
        <f>#REF!</f>
        <v>#REF!</v>
      </c>
      <c r="DK150" s="19" t="e">
        <f>#REF!</f>
        <v>#REF!</v>
      </c>
      <c r="DL150" s="19" t="e">
        <f>#REF!</f>
        <v>#REF!</v>
      </c>
      <c r="DM150" s="19" t="e">
        <f>#REF!</f>
        <v>#REF!</v>
      </c>
      <c r="DN150" s="19" t="e">
        <f>#REF!</f>
        <v>#REF!</v>
      </c>
      <c r="DO150" s="19" t="e">
        <f>#REF!</f>
        <v>#REF!</v>
      </c>
      <c r="DP150" s="19" t="e">
        <f>#REF!</f>
        <v>#REF!</v>
      </c>
      <c r="DQ150" s="11" t="s">
        <v>166</v>
      </c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34" t="s">
        <v>124</v>
      </c>
      <c r="EV150" s="34">
        <v>480</v>
      </c>
      <c r="EW150" s="34" t="s">
        <v>124</v>
      </c>
      <c r="EX150" s="34" t="s">
        <v>124</v>
      </c>
      <c r="EY150" s="34">
        <v>1114</v>
      </c>
      <c r="EZ150" s="34">
        <v>955</v>
      </c>
      <c r="FA150" s="34">
        <v>852</v>
      </c>
      <c r="FB150" s="34">
        <f>SUM(EU150:FA150)</f>
        <v>3401</v>
      </c>
      <c r="FC150" s="11" t="s">
        <v>185</v>
      </c>
      <c r="FD150" s="8"/>
      <c r="FE150" s="11" t="s">
        <v>190</v>
      </c>
      <c r="FF150" s="8"/>
      <c r="FG150" s="8"/>
      <c r="FH150" s="8"/>
      <c r="FI150" s="8"/>
      <c r="FJ150" s="8">
        <f>FB150</f>
        <v>3401</v>
      </c>
      <c r="FK150" s="8">
        <f>FA150</f>
        <v>852</v>
      </c>
      <c r="FL150" s="8">
        <f>EZ150</f>
        <v>955</v>
      </c>
      <c r="FM150" s="8">
        <f>EY150</f>
        <v>1114</v>
      </c>
      <c r="FN150" s="11" t="s">
        <v>124</v>
      </c>
      <c r="FO150" s="11" t="s">
        <v>124</v>
      </c>
      <c r="FP150" s="8">
        <f>EV150</f>
        <v>480</v>
      </c>
      <c r="FQ150" s="11" t="s">
        <v>124</v>
      </c>
      <c r="FR150" s="5"/>
      <c r="FS150" s="5"/>
      <c r="FT150" s="5"/>
      <c r="FU150" s="5"/>
      <c r="FV150" s="8"/>
      <c r="FW150" s="151" t="s">
        <v>35</v>
      </c>
      <c r="FX150" s="151" t="s">
        <v>36</v>
      </c>
      <c r="FY150" s="151" t="s">
        <v>37</v>
      </c>
      <c r="FZ150" s="151" t="s">
        <v>161</v>
      </c>
      <c r="GA150" s="151" t="s">
        <v>7</v>
      </c>
      <c r="GB150" s="151" t="s">
        <v>283</v>
      </c>
      <c r="GC150" s="8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</row>
    <row r="151" spans="1:249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8">
        <f>SUM(CH152:CH158)</f>
        <v>1560</v>
      </c>
      <c r="CI151" s="8">
        <f>SUM(CI152:CI158)</f>
        <v>5470</v>
      </c>
      <c r="CJ151" s="8">
        <f>SUM(CJ152:CJ158)</f>
        <v>25720</v>
      </c>
      <c r="CK151" s="8">
        <f>SUM(CK152:CK158)</f>
        <v>22630</v>
      </c>
      <c r="CL151" s="8">
        <f>SUM(CL152:CL158)</f>
        <v>68950</v>
      </c>
      <c r="CM151" s="8">
        <f t="shared" ref="CM151:CM158" si="101">CL151+CJ151+CI151+CH151</f>
        <v>101700</v>
      </c>
      <c r="CN151" s="11" t="s">
        <v>72</v>
      </c>
      <c r="CO151" s="8"/>
      <c r="CP151" s="8"/>
      <c r="CQ151" s="11" t="s">
        <v>75</v>
      </c>
      <c r="CR151" s="8"/>
      <c r="CS151" s="8"/>
      <c r="CT151" s="8"/>
      <c r="CU151" s="34">
        <f t="shared" ref="CU151:CU158" si="102">CM151</f>
        <v>101700</v>
      </c>
      <c r="CV151" s="34">
        <f t="shared" ref="CV151:CV158" si="103">CL151</f>
        <v>68950</v>
      </c>
      <c r="CW151" s="34">
        <f t="shared" ref="CW151:CW158" si="104">CK151</f>
        <v>22630</v>
      </c>
      <c r="CX151" s="34">
        <f t="shared" ref="CX151:CX158" si="105">CJ151</f>
        <v>25720</v>
      </c>
      <c r="CY151" s="34">
        <f t="shared" ref="CY151:CY158" si="106">CI151</f>
        <v>5470</v>
      </c>
      <c r="CZ151" s="34">
        <f t="shared" ref="CZ151:CZ158" si="107">CH151</f>
        <v>1560</v>
      </c>
      <c r="DA151" s="34"/>
      <c r="DB151" s="34"/>
      <c r="DC151" s="145"/>
      <c r="DD151" s="34"/>
      <c r="DE151" s="5"/>
      <c r="DF151" s="5"/>
      <c r="DG151" s="5"/>
      <c r="DH151" s="19" t="e">
        <f>#REF!</f>
        <v>#REF!</v>
      </c>
      <c r="DI151" s="19" t="e">
        <f>#REF!</f>
        <v>#REF!</v>
      </c>
      <c r="DJ151" s="19" t="e">
        <f>#REF!</f>
        <v>#REF!</v>
      </c>
      <c r="DK151" s="19" t="e">
        <f>#REF!</f>
        <v>#REF!</v>
      </c>
      <c r="DL151" s="19" t="e">
        <f>#REF!</f>
        <v>#REF!</v>
      </c>
      <c r="DM151" s="19" t="e">
        <f>#REF!</f>
        <v>#REF!</v>
      </c>
      <c r="DN151" s="19" t="e">
        <f>#REF!</f>
        <v>#REF!</v>
      </c>
      <c r="DO151" s="19" t="e">
        <f>#REF!</f>
        <v>#REF!</v>
      </c>
      <c r="DP151" s="19" t="e">
        <f>#REF!</f>
        <v>#REF!</v>
      </c>
      <c r="DQ151" s="11" t="s">
        <v>172</v>
      </c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34" t="s">
        <v>124</v>
      </c>
      <c r="EV151" s="34">
        <v>406</v>
      </c>
      <c r="EW151" s="34">
        <v>226</v>
      </c>
      <c r="EX151" s="34" t="s">
        <v>124</v>
      </c>
      <c r="EY151" s="34">
        <v>1642</v>
      </c>
      <c r="EZ151" s="34" t="s">
        <v>124</v>
      </c>
      <c r="FA151" s="34">
        <v>1601</v>
      </c>
      <c r="FB151" s="34">
        <f>SUM(EU151:FA151)</f>
        <v>3875</v>
      </c>
      <c r="FC151" s="11" t="s">
        <v>189</v>
      </c>
      <c r="FD151" s="8"/>
      <c r="FE151" s="11" t="s">
        <v>192</v>
      </c>
      <c r="FF151" s="8"/>
      <c r="FG151" s="8"/>
      <c r="FH151" s="8"/>
      <c r="FI151" s="8"/>
      <c r="FJ151" s="8">
        <f>FB151</f>
        <v>3875</v>
      </c>
      <c r="FK151" s="8">
        <f>FA151</f>
        <v>1601</v>
      </c>
      <c r="FL151" s="11" t="s">
        <v>124</v>
      </c>
      <c r="FM151" s="8">
        <f>EY151</f>
        <v>1642</v>
      </c>
      <c r="FN151" s="11" t="s">
        <v>124</v>
      </c>
      <c r="FO151" s="8">
        <f>EW151</f>
        <v>226</v>
      </c>
      <c r="FP151" s="8">
        <f>EV151</f>
        <v>406</v>
      </c>
      <c r="FQ151" s="11" t="s">
        <v>124</v>
      </c>
      <c r="FR151" s="5"/>
      <c r="FS151" s="5"/>
      <c r="FT151" s="5"/>
      <c r="FU151" s="5"/>
      <c r="FV151" s="5"/>
      <c r="FW151" s="5"/>
      <c r="FX151" s="5"/>
      <c r="FY151" s="5"/>
      <c r="FZ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</row>
    <row r="152" spans="1:249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8">
        <v>200</v>
      </c>
      <c r="CI152" s="8">
        <v>1840</v>
      </c>
      <c r="CJ152" s="8">
        <v>5750</v>
      </c>
      <c r="CK152" s="8">
        <v>4400</v>
      </c>
      <c r="CL152" s="8">
        <v>12500</v>
      </c>
      <c r="CM152" s="8">
        <f t="shared" si="101"/>
        <v>20290</v>
      </c>
      <c r="CN152" s="11" t="s">
        <v>144</v>
      </c>
      <c r="CO152" s="8"/>
      <c r="CP152" s="8"/>
      <c r="CQ152" s="11" t="s">
        <v>145</v>
      </c>
      <c r="CR152" s="8"/>
      <c r="CS152" s="8"/>
      <c r="CT152" s="8"/>
      <c r="CU152" s="34">
        <f t="shared" si="102"/>
        <v>20290</v>
      </c>
      <c r="CV152" s="34">
        <f t="shared" si="103"/>
        <v>12500</v>
      </c>
      <c r="CW152" s="34">
        <f t="shared" si="104"/>
        <v>4400</v>
      </c>
      <c r="CX152" s="34">
        <f t="shared" si="105"/>
        <v>5750</v>
      </c>
      <c r="CY152" s="34">
        <f t="shared" si="106"/>
        <v>1840</v>
      </c>
      <c r="CZ152" s="34">
        <f t="shared" si="107"/>
        <v>200</v>
      </c>
      <c r="DA152" s="34"/>
      <c r="DB152" s="34"/>
      <c r="DC152" s="145"/>
      <c r="DD152" s="34"/>
      <c r="DE152" s="5"/>
      <c r="DF152" s="5"/>
      <c r="DG152" s="5"/>
      <c r="DH152" s="19" t="e">
        <f>#REF!-68</f>
        <v>#REF!</v>
      </c>
      <c r="DI152" s="19" t="e">
        <f>#REF!-63</f>
        <v>#REF!</v>
      </c>
      <c r="DJ152" s="19" t="e">
        <f>#REF!-44</f>
        <v>#REF!</v>
      </c>
      <c r="DK152" s="19" t="e">
        <f>#REF!-40</f>
        <v>#REF!</v>
      </c>
      <c r="DL152" s="19" t="e">
        <f>#REF!-46</f>
        <v>#REF!</v>
      </c>
      <c r="DM152" s="19" t="e">
        <f>#REF!-45</f>
        <v>#REF!</v>
      </c>
      <c r="DN152" s="19" t="e">
        <f>#REF!-42</f>
        <v>#REF!</v>
      </c>
      <c r="DO152" s="19" t="e">
        <f>#REF!-47</f>
        <v>#REF!</v>
      </c>
      <c r="DP152" s="19" t="e">
        <f>#REF!-50</f>
        <v>#REF!</v>
      </c>
      <c r="DQ152" s="11" t="s">
        <v>210</v>
      </c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34"/>
      <c r="EV152" s="34"/>
      <c r="EW152" s="34"/>
      <c r="EX152" s="34"/>
      <c r="EY152" s="34"/>
      <c r="EZ152" s="34"/>
      <c r="FA152" s="34"/>
      <c r="FB152" s="34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5"/>
      <c r="FS152" s="5"/>
      <c r="FT152" s="5"/>
      <c r="FU152" s="5"/>
      <c r="FV152" s="5"/>
      <c r="FW152" s="8">
        <f>FW154+FW168</f>
        <v>6309</v>
      </c>
      <c r="FX152" s="8">
        <f>FX154+FX168</f>
        <v>6055</v>
      </c>
      <c r="FY152" s="8">
        <f>FY154+FY168</f>
        <v>5995</v>
      </c>
      <c r="FZ152" s="8" t="e">
        <f>FZ154+FZ168</f>
        <v>#REF!</v>
      </c>
      <c r="GA152" s="8" t="e">
        <f>GA154+GA168</f>
        <v>#REF!</v>
      </c>
      <c r="GB152" s="152" t="s">
        <v>64</v>
      </c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</row>
    <row r="153" spans="1:249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8">
        <v>50</v>
      </c>
      <c r="CI153" s="8">
        <v>630</v>
      </c>
      <c r="CJ153" s="8">
        <v>2330</v>
      </c>
      <c r="CK153" s="8">
        <v>1760</v>
      </c>
      <c r="CL153" s="8">
        <v>7360</v>
      </c>
      <c r="CM153" s="8">
        <f t="shared" si="101"/>
        <v>10370</v>
      </c>
      <c r="CN153" s="11" t="s">
        <v>70</v>
      </c>
      <c r="CO153" s="8"/>
      <c r="CP153" s="8"/>
      <c r="CQ153" s="11" t="s">
        <v>77</v>
      </c>
      <c r="CR153" s="8"/>
      <c r="CS153" s="8"/>
      <c r="CT153" s="8"/>
      <c r="CU153" s="34">
        <f t="shared" si="102"/>
        <v>10370</v>
      </c>
      <c r="CV153" s="34">
        <f t="shared" si="103"/>
        <v>7360</v>
      </c>
      <c r="CW153" s="34">
        <f t="shared" si="104"/>
        <v>1760</v>
      </c>
      <c r="CX153" s="34">
        <f t="shared" si="105"/>
        <v>2330</v>
      </c>
      <c r="CY153" s="34">
        <f t="shared" si="106"/>
        <v>630</v>
      </c>
      <c r="CZ153" s="34">
        <f t="shared" si="107"/>
        <v>50</v>
      </c>
      <c r="DA153" s="34"/>
      <c r="DB153" s="34"/>
      <c r="DC153" s="145"/>
      <c r="DD153" s="34"/>
      <c r="DE153" s="5"/>
      <c r="DF153" s="5"/>
      <c r="DG153" s="5"/>
      <c r="DH153" s="19" t="e">
        <f>#REF!-90</f>
        <v>#REF!</v>
      </c>
      <c r="DI153" s="19" t="e">
        <f>#REF!-91</f>
        <v>#REF!</v>
      </c>
      <c r="DJ153" s="19" t="e">
        <f>#REF!-95</f>
        <v>#REF!</v>
      </c>
      <c r="DK153" s="19" t="e">
        <f>#REF!-85</f>
        <v>#REF!</v>
      </c>
      <c r="DL153" s="19" t="e">
        <f>#REF!-71</f>
        <v>#REF!</v>
      </c>
      <c r="DM153" s="19" t="e">
        <f>#REF!-66</f>
        <v>#REF!</v>
      </c>
      <c r="DN153" s="19" t="e">
        <f>#REF!-60</f>
        <v>#REF!</v>
      </c>
      <c r="DO153" s="19" t="e">
        <f>#REF!-43</f>
        <v>#REF!</v>
      </c>
      <c r="DP153" s="19" t="e">
        <f>#REF!-56</f>
        <v>#REF!</v>
      </c>
      <c r="DQ153" s="11" t="s">
        <v>211</v>
      </c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34">
        <f t="shared" ref="EU153:FA153" si="108">EU155+EU156+EU157</f>
        <v>742</v>
      </c>
      <c r="EV153" s="34">
        <f t="shared" si="108"/>
        <v>1304</v>
      </c>
      <c r="EW153" s="34">
        <f t="shared" si="108"/>
        <v>1652</v>
      </c>
      <c r="EX153" s="34">
        <f t="shared" si="108"/>
        <v>2009</v>
      </c>
      <c r="EY153" s="34">
        <f t="shared" si="108"/>
        <v>3802</v>
      </c>
      <c r="EZ153" s="34">
        <f t="shared" si="108"/>
        <v>2107</v>
      </c>
      <c r="FA153" s="34">
        <f t="shared" si="108"/>
        <v>3245</v>
      </c>
      <c r="FB153" s="34">
        <f>SUM(EU153:FA153)</f>
        <v>14861</v>
      </c>
      <c r="FC153" s="11" t="s">
        <v>207</v>
      </c>
      <c r="FD153" s="8"/>
      <c r="FE153" s="19" t="s">
        <v>180</v>
      </c>
      <c r="FF153" s="8"/>
      <c r="FG153" s="8"/>
      <c r="FH153" s="8"/>
      <c r="FI153" s="8"/>
      <c r="FJ153" s="8">
        <f>FB153</f>
        <v>14861</v>
      </c>
      <c r="FK153" s="8">
        <f>FA153</f>
        <v>3245</v>
      </c>
      <c r="FL153" s="8">
        <f>EZ153</f>
        <v>2107</v>
      </c>
      <c r="FM153" s="8">
        <f>EY153</f>
        <v>3802</v>
      </c>
      <c r="FN153" s="8">
        <f>EX153</f>
        <v>2009</v>
      </c>
      <c r="FO153" s="8">
        <f>EW153</f>
        <v>1652</v>
      </c>
      <c r="FP153" s="8">
        <f>EV153</f>
        <v>1304</v>
      </c>
      <c r="FQ153" s="8">
        <f>EU153</f>
        <v>742</v>
      </c>
      <c r="FR153" s="5"/>
      <c r="FS153" s="5"/>
      <c r="FT153" s="5"/>
      <c r="FU153" s="5"/>
      <c r="FV153" s="5"/>
      <c r="FW153" s="8"/>
      <c r="FX153" s="8"/>
      <c r="FY153" s="8"/>
      <c r="FZ153" s="8"/>
      <c r="GA153" s="8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</row>
    <row r="154" spans="1:249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8">
        <v>380</v>
      </c>
      <c r="CI154" s="8">
        <v>1230</v>
      </c>
      <c r="CJ154" s="8">
        <v>8200</v>
      </c>
      <c r="CK154" s="8">
        <v>4420</v>
      </c>
      <c r="CL154" s="8">
        <v>16290</v>
      </c>
      <c r="CM154" s="8">
        <f t="shared" si="101"/>
        <v>26100</v>
      </c>
      <c r="CN154" s="11" t="s">
        <v>175</v>
      </c>
      <c r="CO154" s="8"/>
      <c r="CP154" s="8"/>
      <c r="CQ154" s="11" t="s">
        <v>176</v>
      </c>
      <c r="CR154" s="8"/>
      <c r="CS154" s="8"/>
      <c r="CT154" s="8"/>
      <c r="CU154" s="34">
        <f t="shared" si="102"/>
        <v>26100</v>
      </c>
      <c r="CV154" s="34">
        <f t="shared" si="103"/>
        <v>16290</v>
      </c>
      <c r="CW154" s="34">
        <f t="shared" si="104"/>
        <v>4420</v>
      </c>
      <c r="CX154" s="34">
        <f t="shared" si="105"/>
        <v>8200</v>
      </c>
      <c r="CY154" s="34">
        <f t="shared" si="106"/>
        <v>1230</v>
      </c>
      <c r="CZ154" s="34">
        <f t="shared" si="107"/>
        <v>380</v>
      </c>
      <c r="DA154" s="34"/>
      <c r="DB154" s="34"/>
      <c r="DC154" s="145"/>
      <c r="DD154" s="34"/>
      <c r="DE154" s="5"/>
      <c r="DF154" s="5"/>
      <c r="DG154" s="5"/>
      <c r="DH154" s="73" t="e">
        <f>#REF!+#REF!+#REF!-70</f>
        <v>#REF!</v>
      </c>
      <c r="DI154" s="73" t="e">
        <f>#REF!+#REF!+#REF!-73</f>
        <v>#REF!</v>
      </c>
      <c r="DJ154" s="73" t="e">
        <f>#REF!+#REF!+#REF!-67</f>
        <v>#REF!</v>
      </c>
      <c r="DK154" s="73" t="e">
        <f>#REF!+#REF!+#REF!-74</f>
        <v>#REF!</v>
      </c>
      <c r="DL154" s="73" t="e">
        <f>#REF!+#REF!+#REF!-68</f>
        <v>#REF!</v>
      </c>
      <c r="DM154" s="73" t="e">
        <f>#REF!+#REF!+#REF!-73</f>
        <v>#REF!</v>
      </c>
      <c r="DN154" s="73" t="e">
        <f>#REF!+#REF!+#REF!-75</f>
        <v>#REF!</v>
      </c>
      <c r="DO154" s="73" t="e">
        <f>#REF!+#REF!+#REF!-72</f>
        <v>#REF!</v>
      </c>
      <c r="DP154" s="73" t="e">
        <f>#REF!+#REF!+#REF!-70</f>
        <v>#REF!</v>
      </c>
      <c r="DQ154" s="11" t="s">
        <v>230</v>
      </c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34"/>
      <c r="EV154" s="34"/>
      <c r="EW154" s="34"/>
      <c r="EX154" s="34"/>
      <c r="EY154" s="34"/>
      <c r="EZ154" s="34"/>
      <c r="FA154" s="34"/>
      <c r="FB154" s="34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5"/>
      <c r="FS154" s="5"/>
      <c r="FT154" s="5"/>
      <c r="FU154" s="5"/>
      <c r="FV154" s="5"/>
      <c r="FW154" s="8">
        <f>FW156+FW162+FW164</f>
        <v>5753</v>
      </c>
      <c r="FX154" s="8">
        <f>FX156+FX162+FX164</f>
        <v>5519</v>
      </c>
      <c r="FY154" s="8">
        <f>FY156+FY162+FY164</f>
        <v>5497</v>
      </c>
      <c r="FZ154" s="8" t="e">
        <f>FZ156+FZ162+FZ164</f>
        <v>#REF!</v>
      </c>
      <c r="GA154" s="8" t="e">
        <f>GA156+GA162+GA164</f>
        <v>#REF!</v>
      </c>
      <c r="GB154" s="153" t="s">
        <v>346</v>
      </c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</row>
    <row r="155" spans="1:249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8">
        <v>650</v>
      </c>
      <c r="CI155" s="8">
        <v>680</v>
      </c>
      <c r="CJ155" s="8">
        <v>3320</v>
      </c>
      <c r="CK155" s="8">
        <v>5220</v>
      </c>
      <c r="CL155" s="8">
        <v>14460</v>
      </c>
      <c r="CM155" s="8">
        <f t="shared" si="101"/>
        <v>19110</v>
      </c>
      <c r="CN155" s="11" t="s">
        <v>177</v>
      </c>
      <c r="CO155" s="8"/>
      <c r="CP155" s="8"/>
      <c r="CQ155" s="11" t="s">
        <v>178</v>
      </c>
      <c r="CR155" s="8"/>
      <c r="CS155" s="8"/>
      <c r="CT155" s="8"/>
      <c r="CU155" s="34">
        <f t="shared" si="102"/>
        <v>19110</v>
      </c>
      <c r="CV155" s="34">
        <f t="shared" si="103"/>
        <v>14460</v>
      </c>
      <c r="CW155" s="34">
        <f t="shared" si="104"/>
        <v>5220</v>
      </c>
      <c r="CX155" s="34">
        <f t="shared" si="105"/>
        <v>3320</v>
      </c>
      <c r="CY155" s="34">
        <f t="shared" si="106"/>
        <v>680</v>
      </c>
      <c r="CZ155" s="34">
        <f t="shared" si="107"/>
        <v>650</v>
      </c>
      <c r="DA155" s="34"/>
      <c r="DB155" s="34"/>
      <c r="DC155" s="145"/>
      <c r="DD155" s="34"/>
      <c r="DE155" s="5"/>
      <c r="DF155" s="5"/>
      <c r="DG155" s="5"/>
      <c r="DH155" s="73" t="e">
        <f>#REF!</f>
        <v>#REF!</v>
      </c>
      <c r="DI155" s="73" t="e">
        <f>#REF!</f>
        <v>#REF!</v>
      </c>
      <c r="DJ155" s="73" t="e">
        <f>#REF!</f>
        <v>#REF!</v>
      </c>
      <c r="DK155" s="73" t="e">
        <f>#REF!</f>
        <v>#REF!</v>
      </c>
      <c r="DL155" s="73" t="e">
        <f>#REF!</f>
        <v>#REF!</v>
      </c>
      <c r="DM155" s="73" t="e">
        <f>#REF!</f>
        <v>#REF!</v>
      </c>
      <c r="DN155" s="73" t="e">
        <f>#REF!</f>
        <v>#REF!</v>
      </c>
      <c r="DO155" s="73" t="e">
        <f>#REF!</f>
        <v>#REF!</v>
      </c>
      <c r="DP155" s="73" t="e">
        <f>#REF!</f>
        <v>#REF!</v>
      </c>
      <c r="DQ155" s="11" t="s">
        <v>216</v>
      </c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34">
        <v>97</v>
      </c>
      <c r="EV155" s="34">
        <v>538</v>
      </c>
      <c r="EW155" s="34">
        <v>1497</v>
      </c>
      <c r="EX155" s="34">
        <v>1045</v>
      </c>
      <c r="EY155" s="34">
        <v>1749</v>
      </c>
      <c r="EZ155" s="34">
        <v>1367</v>
      </c>
      <c r="FA155" s="34">
        <v>935</v>
      </c>
      <c r="FB155" s="34">
        <f>SUM(EU155:FA155)</f>
        <v>7228</v>
      </c>
      <c r="FC155" s="11" t="s">
        <v>210</v>
      </c>
      <c r="FD155" s="8"/>
      <c r="FE155" s="11" t="s">
        <v>212</v>
      </c>
      <c r="FF155" s="8"/>
      <c r="FG155" s="8"/>
      <c r="FH155" s="8"/>
      <c r="FI155" s="8"/>
      <c r="FJ155" s="8">
        <f>FB155</f>
        <v>7228</v>
      </c>
      <c r="FK155" s="8">
        <f>FA155</f>
        <v>935</v>
      </c>
      <c r="FL155" s="8">
        <f>EZ155</f>
        <v>1367</v>
      </c>
      <c r="FM155" s="8">
        <f>EY155</f>
        <v>1749</v>
      </c>
      <c r="FN155" s="8">
        <f>EX155</f>
        <v>1045</v>
      </c>
      <c r="FO155" s="8">
        <f>EW155</f>
        <v>1497</v>
      </c>
      <c r="FP155" s="8">
        <f>EV155</f>
        <v>538</v>
      </c>
      <c r="FQ155" s="8">
        <f>EU155</f>
        <v>97</v>
      </c>
      <c r="FR155" s="5"/>
      <c r="FS155" s="5"/>
      <c r="FT155" s="5"/>
      <c r="FU155" s="5"/>
      <c r="FV155" s="5"/>
      <c r="FW155" s="8"/>
      <c r="FX155" s="8"/>
      <c r="FY155" s="8"/>
      <c r="FZ155" s="8"/>
      <c r="GA155" s="8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</row>
    <row r="156" spans="1:249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8">
        <v>180</v>
      </c>
      <c r="CI156" s="8">
        <v>150</v>
      </c>
      <c r="CJ156" s="8">
        <v>2510</v>
      </c>
      <c r="CK156" s="8">
        <v>3520</v>
      </c>
      <c r="CL156" s="8">
        <v>9980</v>
      </c>
      <c r="CM156" s="8">
        <f t="shared" si="101"/>
        <v>12820</v>
      </c>
      <c r="CN156" s="11" t="s">
        <v>149</v>
      </c>
      <c r="CO156" s="8"/>
      <c r="CP156" s="8"/>
      <c r="CQ156" s="11" t="s">
        <v>150</v>
      </c>
      <c r="CR156" s="8"/>
      <c r="CS156" s="8"/>
      <c r="CT156" s="8"/>
      <c r="CU156" s="34">
        <f t="shared" si="102"/>
        <v>12820</v>
      </c>
      <c r="CV156" s="34">
        <f t="shared" si="103"/>
        <v>9980</v>
      </c>
      <c r="CW156" s="34">
        <f t="shared" si="104"/>
        <v>3520</v>
      </c>
      <c r="CX156" s="34">
        <f t="shared" si="105"/>
        <v>2510</v>
      </c>
      <c r="CY156" s="34">
        <f t="shared" si="106"/>
        <v>150</v>
      </c>
      <c r="CZ156" s="34">
        <f t="shared" si="107"/>
        <v>180</v>
      </c>
      <c r="DA156" s="138"/>
      <c r="DB156" s="138"/>
      <c r="DC156" s="145"/>
      <c r="DD156" s="138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34">
        <v>280</v>
      </c>
      <c r="EV156" s="34">
        <v>369</v>
      </c>
      <c r="EW156" s="34" t="s">
        <v>124</v>
      </c>
      <c r="EX156" s="34">
        <v>397</v>
      </c>
      <c r="EY156" s="34">
        <v>756</v>
      </c>
      <c r="EZ156" s="34">
        <v>560</v>
      </c>
      <c r="FA156" s="34">
        <v>1020</v>
      </c>
      <c r="FB156" s="34">
        <f>SUM(EU156:FA156)</f>
        <v>3382</v>
      </c>
      <c r="FC156" s="11" t="s">
        <v>211</v>
      </c>
      <c r="FD156" s="8"/>
      <c r="FE156" s="11" t="s">
        <v>214</v>
      </c>
      <c r="FF156" s="8"/>
      <c r="FG156" s="8"/>
      <c r="FH156" s="8"/>
      <c r="FI156" s="8"/>
      <c r="FJ156" s="8">
        <f>FB156</f>
        <v>3382</v>
      </c>
      <c r="FK156" s="8">
        <f>FA156</f>
        <v>1020</v>
      </c>
      <c r="FL156" s="8">
        <f>EZ156</f>
        <v>560</v>
      </c>
      <c r="FM156" s="8">
        <f>EY156</f>
        <v>756</v>
      </c>
      <c r="FN156" s="8">
        <f>EX156</f>
        <v>397</v>
      </c>
      <c r="FO156" s="11" t="s">
        <v>124</v>
      </c>
      <c r="FP156" s="8">
        <f>EV156</f>
        <v>369</v>
      </c>
      <c r="FQ156" s="8">
        <f>EU156</f>
        <v>280</v>
      </c>
      <c r="FR156" s="5"/>
      <c r="FS156" s="5"/>
      <c r="FT156" s="5"/>
      <c r="FU156" s="5"/>
      <c r="FV156" s="5"/>
      <c r="FW156" s="8">
        <f>FY211</f>
        <v>3257</v>
      </c>
      <c r="FX156" s="8">
        <f>FY131</f>
        <v>3186</v>
      </c>
      <c r="FY156" s="8">
        <f>FY80</f>
        <v>3099</v>
      </c>
      <c r="FZ156" s="8" t="e">
        <f>+#REF!</f>
        <v>#REF!</v>
      </c>
      <c r="GA156" s="8" t="e">
        <f>#REF!</f>
        <v>#REF!</v>
      </c>
      <c r="GB156" s="11" t="s">
        <v>207</v>
      </c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</row>
    <row r="157" spans="1:249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8">
        <v>100</v>
      </c>
      <c r="CI157" s="8">
        <v>390</v>
      </c>
      <c r="CJ157" s="8">
        <v>3400</v>
      </c>
      <c r="CK157" s="8">
        <v>3310</v>
      </c>
      <c r="CL157" s="8">
        <v>8360</v>
      </c>
      <c r="CM157" s="8">
        <f t="shared" si="101"/>
        <v>12250</v>
      </c>
      <c r="CN157" s="11" t="s">
        <v>183</v>
      </c>
      <c r="CO157" s="8"/>
      <c r="CP157" s="8"/>
      <c r="CQ157" s="11" t="s">
        <v>184</v>
      </c>
      <c r="CR157" s="8"/>
      <c r="CS157" s="8"/>
      <c r="CT157" s="8"/>
      <c r="CU157" s="34">
        <f t="shared" si="102"/>
        <v>12250</v>
      </c>
      <c r="CV157" s="34">
        <f t="shared" si="103"/>
        <v>8360</v>
      </c>
      <c r="CW157" s="34">
        <f t="shared" si="104"/>
        <v>3310</v>
      </c>
      <c r="CX157" s="34">
        <f t="shared" si="105"/>
        <v>3400</v>
      </c>
      <c r="CY157" s="34">
        <f t="shared" si="106"/>
        <v>390</v>
      </c>
      <c r="CZ157" s="34">
        <f t="shared" si="107"/>
        <v>100</v>
      </c>
      <c r="DA157" s="138"/>
      <c r="DB157" s="138"/>
      <c r="DC157" s="145"/>
      <c r="DD157" s="138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8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34">
        <v>365</v>
      </c>
      <c r="EV157" s="34">
        <v>397</v>
      </c>
      <c r="EW157" s="34">
        <v>155</v>
      </c>
      <c r="EX157" s="34">
        <v>567</v>
      </c>
      <c r="EY157" s="34">
        <v>1297</v>
      </c>
      <c r="EZ157" s="34">
        <v>180</v>
      </c>
      <c r="FA157" s="34">
        <v>1290</v>
      </c>
      <c r="FB157" s="34">
        <f>SUM(EU157:FA157)</f>
        <v>4251</v>
      </c>
      <c r="FC157" s="11" t="s">
        <v>213</v>
      </c>
      <c r="FD157" s="8"/>
      <c r="FE157" s="11" t="s">
        <v>215</v>
      </c>
      <c r="FF157" s="8"/>
      <c r="FG157" s="8"/>
      <c r="FH157" s="8"/>
      <c r="FI157" s="8"/>
      <c r="FJ157" s="8">
        <f>FB157</f>
        <v>4251</v>
      </c>
      <c r="FK157" s="8">
        <f>FA157</f>
        <v>1290</v>
      </c>
      <c r="FL157" s="8">
        <f>EZ157</f>
        <v>180</v>
      </c>
      <c r="FM157" s="8">
        <f>EY157</f>
        <v>1297</v>
      </c>
      <c r="FN157" s="8">
        <f>EX157</f>
        <v>567</v>
      </c>
      <c r="FO157" s="8">
        <f>EW157</f>
        <v>155</v>
      </c>
      <c r="FP157" s="8">
        <f>EV157</f>
        <v>397</v>
      </c>
      <c r="FQ157" s="8">
        <f>EU157</f>
        <v>365</v>
      </c>
      <c r="FR157" s="5"/>
      <c r="FS157" s="5"/>
      <c r="FT157" s="5"/>
      <c r="FU157" s="5"/>
      <c r="FV157" s="5"/>
      <c r="FW157" s="8"/>
      <c r="FX157" s="8"/>
      <c r="FY157" s="8"/>
      <c r="FZ157" s="8"/>
      <c r="GA157" s="154"/>
      <c r="GB157" s="8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</row>
    <row r="158" spans="1:249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34" t="s">
        <v>124</v>
      </c>
      <c r="CI158" s="34">
        <v>550</v>
      </c>
      <c r="CJ158" s="34">
        <v>210</v>
      </c>
      <c r="CK158" s="11" t="s">
        <v>124</v>
      </c>
      <c r="CL158" s="34" t="s">
        <v>124</v>
      </c>
      <c r="CM158" s="8">
        <f t="shared" si="101"/>
        <v>760</v>
      </c>
      <c r="CN158" s="11" t="s">
        <v>187</v>
      </c>
      <c r="CO158" s="8"/>
      <c r="CP158" s="8"/>
      <c r="CQ158" s="11" t="s">
        <v>188</v>
      </c>
      <c r="CR158" s="8"/>
      <c r="CS158" s="8"/>
      <c r="CT158" s="8"/>
      <c r="CU158" s="34">
        <f t="shared" si="102"/>
        <v>760</v>
      </c>
      <c r="CV158" s="34" t="str">
        <f t="shared" si="103"/>
        <v>-</v>
      </c>
      <c r="CW158" s="34" t="str">
        <f t="shared" si="104"/>
        <v>-</v>
      </c>
      <c r="CX158" s="34">
        <f t="shared" si="105"/>
        <v>210</v>
      </c>
      <c r="CY158" s="34">
        <f t="shared" si="106"/>
        <v>550</v>
      </c>
      <c r="CZ158" s="34" t="str">
        <f t="shared" si="107"/>
        <v>-</v>
      </c>
      <c r="DA158" s="138"/>
      <c r="DB158" s="138"/>
      <c r="DC158" s="145"/>
      <c r="DD158" s="138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8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34"/>
      <c r="EV158" s="34"/>
      <c r="EW158" s="34"/>
      <c r="EX158" s="34"/>
      <c r="EY158" s="34"/>
      <c r="EZ158" s="34"/>
      <c r="FA158" s="34"/>
      <c r="FB158" s="34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5"/>
      <c r="FS158" s="5"/>
      <c r="FT158" s="5"/>
      <c r="FU158" s="5"/>
      <c r="FV158" s="5"/>
      <c r="FW158" s="8">
        <f>FY213</f>
        <v>1892</v>
      </c>
      <c r="FX158" s="8">
        <f>FY133</f>
        <v>1865</v>
      </c>
      <c r="FY158" s="8">
        <f>FY82</f>
        <v>1766</v>
      </c>
      <c r="FZ158" s="8" t="e">
        <f>+#REF!</f>
        <v>#REF!</v>
      </c>
      <c r="GA158" s="154" t="e">
        <f>#REF!</f>
        <v>#REF!</v>
      </c>
      <c r="GB158" s="11" t="s">
        <v>210</v>
      </c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</row>
    <row r="159" spans="1:249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18"/>
      <c r="CV159" s="18"/>
      <c r="CW159" s="18"/>
      <c r="CX159" s="18"/>
      <c r="CY159" s="18"/>
      <c r="CZ159" s="18"/>
      <c r="DA159" s="138"/>
      <c r="DB159" s="138"/>
      <c r="DC159" s="145"/>
      <c r="DD159" s="138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8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34" t="s">
        <v>124</v>
      </c>
      <c r="EV159" s="34" t="s">
        <v>124</v>
      </c>
      <c r="EW159" s="34" t="s">
        <v>124</v>
      </c>
      <c r="EX159" s="34" t="s">
        <v>124</v>
      </c>
      <c r="EY159" s="34" t="s">
        <v>124</v>
      </c>
      <c r="EZ159" s="34" t="s">
        <v>124</v>
      </c>
      <c r="FA159" s="34">
        <v>1368</v>
      </c>
      <c r="FB159" s="34">
        <f>SUM(EU159:FA159)</f>
        <v>1368</v>
      </c>
      <c r="FC159" s="11" t="s">
        <v>217</v>
      </c>
      <c r="FD159" s="8"/>
      <c r="FE159" s="11" t="s">
        <v>181</v>
      </c>
      <c r="FF159" s="8"/>
      <c r="FG159" s="8"/>
      <c r="FH159" s="8"/>
      <c r="FI159" s="8"/>
      <c r="FJ159" s="8">
        <f>FB159</f>
        <v>1368</v>
      </c>
      <c r="FK159" s="8">
        <f>FA159</f>
        <v>1368</v>
      </c>
      <c r="FL159" s="11" t="s">
        <v>124</v>
      </c>
      <c r="FM159" s="11" t="s">
        <v>124</v>
      </c>
      <c r="FN159" s="11" t="s">
        <v>124</v>
      </c>
      <c r="FO159" s="11" t="s">
        <v>124</v>
      </c>
      <c r="FP159" s="11" t="s">
        <v>124</v>
      </c>
      <c r="FQ159" s="11" t="s">
        <v>124</v>
      </c>
      <c r="FR159" s="5"/>
      <c r="FS159" s="5"/>
      <c r="FT159" s="5"/>
      <c r="FU159" s="5"/>
      <c r="FV159" s="5"/>
      <c r="FW159" s="8">
        <f>FY214</f>
        <v>540</v>
      </c>
      <c r="FX159" s="8">
        <f>FY134</f>
        <v>571</v>
      </c>
      <c r="FY159" s="8">
        <f>FY83</f>
        <v>611</v>
      </c>
      <c r="FZ159" s="8" t="e">
        <f>+#REF!</f>
        <v>#REF!</v>
      </c>
      <c r="GA159" s="154" t="e">
        <f>#REF!</f>
        <v>#REF!</v>
      </c>
      <c r="GB159" s="11" t="s">
        <v>211</v>
      </c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</row>
    <row r="160" spans="1:249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6" t="s">
        <v>250</v>
      </c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18"/>
      <c r="CV160" s="18"/>
      <c r="CW160" s="138" t="s">
        <v>251</v>
      </c>
      <c r="CX160" s="18"/>
      <c r="CY160" s="18"/>
      <c r="CZ160" s="18"/>
      <c r="DA160" s="138"/>
      <c r="DB160" s="138"/>
      <c r="DC160" s="145"/>
      <c r="DD160" s="138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8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34"/>
      <c r="EV160" s="34"/>
      <c r="EW160" s="34"/>
      <c r="EX160" s="34"/>
      <c r="EY160" s="34"/>
      <c r="EZ160" s="5"/>
      <c r="FA160" s="34"/>
      <c r="FB160" s="34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5"/>
      <c r="FS160" s="5"/>
      <c r="FT160" s="5"/>
      <c r="FU160" s="5"/>
      <c r="FV160" s="5"/>
      <c r="FW160" s="8">
        <f>FY215</f>
        <v>825</v>
      </c>
      <c r="FX160" s="8">
        <f>FY135</f>
        <v>750</v>
      </c>
      <c r="FY160" s="8">
        <f>FY84</f>
        <v>722</v>
      </c>
      <c r="FZ160" s="8" t="e">
        <f>+#REF!</f>
        <v>#REF!</v>
      </c>
      <c r="GA160" s="154" t="e">
        <f>#REF!</f>
        <v>#REF!</v>
      </c>
      <c r="GB160" s="11" t="s">
        <v>213</v>
      </c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</row>
    <row r="161" spans="1:249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71">
        <f t="shared" ref="CH161:CH167" si="109">CH151/CM151*100</f>
        <v>1.5339233038348081</v>
      </c>
      <c r="CI161" s="71">
        <f t="shared" ref="CI161:CI168" si="110">CI151/CM151*100</f>
        <v>5.3785644051130772</v>
      </c>
      <c r="CJ161" s="71">
        <f t="shared" ref="CJ161:CJ168" si="111">CJ151/CM151*100</f>
        <v>25.290068829891837</v>
      </c>
      <c r="CK161" s="71">
        <f t="shared" ref="CK161:CK167" si="112">CK151/CM151*100</f>
        <v>22.25172074729597</v>
      </c>
      <c r="CL161" s="71">
        <f t="shared" ref="CL161:CL167" si="113">CL151/CM151*100</f>
        <v>67.797443461160285</v>
      </c>
      <c r="CM161" s="71">
        <f t="shared" ref="CM161:CM168" si="114">CL161+CJ161+CI161+CH161</f>
        <v>100.00000000000001</v>
      </c>
      <c r="CN161" s="72" t="s">
        <v>72</v>
      </c>
      <c r="CO161" s="71"/>
      <c r="CP161" s="71"/>
      <c r="CQ161" s="72" t="s">
        <v>75</v>
      </c>
      <c r="CR161" s="71"/>
      <c r="CS161" s="71"/>
      <c r="CT161" s="71"/>
      <c r="CU161" s="138">
        <f t="shared" ref="CU161:CU168" si="115">CM161</f>
        <v>100.00000000000001</v>
      </c>
      <c r="CV161" s="138">
        <f t="shared" ref="CV161:CV168" si="116">CL161</f>
        <v>67.797443461160285</v>
      </c>
      <c r="CW161" s="138">
        <f t="shared" ref="CW161:CW168" si="117">CK161</f>
        <v>22.25172074729597</v>
      </c>
      <c r="CX161" s="138">
        <f t="shared" ref="CX161:CX168" si="118">CJ161</f>
        <v>25.290068829891837</v>
      </c>
      <c r="CY161" s="138">
        <f t="shared" ref="CY161:CY168" si="119">CI161</f>
        <v>5.3785644051130772</v>
      </c>
      <c r="CZ161" s="138">
        <f t="shared" ref="CZ161:CZ168" si="120">CH161</f>
        <v>1.5339233038348081</v>
      </c>
      <c r="DA161" s="5"/>
      <c r="DB161" s="5"/>
      <c r="DC161" s="145"/>
      <c r="DD161" s="138"/>
      <c r="DE161" s="138"/>
      <c r="DF161" s="138"/>
      <c r="DG161" s="138"/>
      <c r="DH161" s="138"/>
      <c r="DI161" s="5"/>
      <c r="DJ161" s="5"/>
      <c r="DK161" s="5"/>
      <c r="DL161" s="5"/>
      <c r="DM161" s="5"/>
      <c r="DN161" s="5"/>
      <c r="DO161" s="5"/>
      <c r="DP161" s="5"/>
      <c r="DQ161" s="8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34" t="s">
        <v>124</v>
      </c>
      <c r="EV161" s="34">
        <v>2959</v>
      </c>
      <c r="EW161" s="34" t="s">
        <v>124</v>
      </c>
      <c r="EX161" s="34" t="s">
        <v>124</v>
      </c>
      <c r="EY161" s="34">
        <v>1763</v>
      </c>
      <c r="EZ161" s="34">
        <v>6694</v>
      </c>
      <c r="FA161" s="34" t="s">
        <v>124</v>
      </c>
      <c r="FB161" s="34">
        <f>SUM(EU161:FA161)</f>
        <v>11416</v>
      </c>
      <c r="FC161" s="11" t="s">
        <v>216</v>
      </c>
      <c r="FD161" s="8"/>
      <c r="FE161" s="11" t="s">
        <v>208</v>
      </c>
      <c r="FF161" s="8"/>
      <c r="FG161" s="8"/>
      <c r="FH161" s="8"/>
      <c r="FI161" s="8"/>
      <c r="FJ161" s="8">
        <f>FB161</f>
        <v>11416</v>
      </c>
      <c r="FK161" s="11" t="s">
        <v>124</v>
      </c>
      <c r="FL161" s="8">
        <f>EZ161</f>
        <v>6694</v>
      </c>
      <c r="FM161" s="8">
        <f>EY161</f>
        <v>1763</v>
      </c>
      <c r="FN161" s="11" t="s">
        <v>124</v>
      </c>
      <c r="FO161" s="11" t="s">
        <v>124</v>
      </c>
      <c r="FP161" s="8">
        <f>EV161</f>
        <v>2959</v>
      </c>
      <c r="FQ161" s="11" t="s">
        <v>124</v>
      </c>
      <c r="FR161" s="5"/>
      <c r="FS161" s="5"/>
      <c r="FT161" s="5"/>
      <c r="FU161" s="5"/>
      <c r="FV161" s="5"/>
      <c r="FW161" s="8"/>
      <c r="FX161" s="8"/>
      <c r="FY161" s="8"/>
      <c r="FZ161" s="8"/>
      <c r="GA161" s="154"/>
      <c r="GB161" s="8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</row>
    <row r="162" spans="1:249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71">
        <f t="shared" si="109"/>
        <v>0.98570724494825035</v>
      </c>
      <c r="CI162" s="71">
        <f t="shared" si="110"/>
        <v>9.0685066535239027</v>
      </c>
      <c r="CJ162" s="71">
        <f t="shared" si="111"/>
        <v>28.339083292262195</v>
      </c>
      <c r="CK162" s="71">
        <f t="shared" si="112"/>
        <v>21.68555938886151</v>
      </c>
      <c r="CL162" s="71">
        <f t="shared" si="113"/>
        <v>61.606702809265649</v>
      </c>
      <c r="CM162" s="71">
        <f t="shared" si="114"/>
        <v>99.999999999999986</v>
      </c>
      <c r="CN162" s="72" t="s">
        <v>144</v>
      </c>
      <c r="CO162" s="71"/>
      <c r="CP162" s="71"/>
      <c r="CQ162" s="72" t="s">
        <v>145</v>
      </c>
      <c r="CR162" s="71"/>
      <c r="CS162" s="71"/>
      <c r="CT162" s="71"/>
      <c r="CU162" s="138">
        <f t="shared" si="115"/>
        <v>99.999999999999986</v>
      </c>
      <c r="CV162" s="138">
        <f t="shared" si="116"/>
        <v>61.606702809265649</v>
      </c>
      <c r="CW162" s="138">
        <f t="shared" si="117"/>
        <v>21.68555938886151</v>
      </c>
      <c r="CX162" s="138">
        <f t="shared" si="118"/>
        <v>28.339083292262195</v>
      </c>
      <c r="CY162" s="138">
        <f t="shared" si="119"/>
        <v>9.0685066535239027</v>
      </c>
      <c r="CZ162" s="138">
        <f t="shared" si="120"/>
        <v>0.98570724494825035</v>
      </c>
      <c r="DA162" s="5"/>
      <c r="DB162" s="5"/>
      <c r="DC162" s="12"/>
      <c r="DD162" s="5"/>
      <c r="DE162" s="5"/>
      <c r="DF162" s="5"/>
      <c r="DG162" s="5"/>
      <c r="DH162" s="5"/>
      <c r="DI162" s="5"/>
      <c r="DJ162" s="6" t="s">
        <v>267</v>
      </c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8">
        <f>FY217</f>
        <v>247</v>
      </c>
      <c r="FX162" s="8">
        <f>FY137</f>
        <v>242</v>
      </c>
      <c r="FY162" s="8">
        <f>FY86</f>
        <v>272</v>
      </c>
      <c r="FZ162" s="8" t="e">
        <f>+#REF!</f>
        <v>#REF!</v>
      </c>
      <c r="GA162" s="154">
        <f>FY36</f>
        <v>0</v>
      </c>
      <c r="GB162" s="11" t="s">
        <v>217</v>
      </c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</row>
    <row r="163" spans="1:249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71">
        <f t="shared" si="109"/>
        <v>0.48216007714561238</v>
      </c>
      <c r="CI163" s="71">
        <f t="shared" si="110"/>
        <v>6.075216972034716</v>
      </c>
      <c r="CJ163" s="71">
        <f t="shared" si="111"/>
        <v>22.468659594985535</v>
      </c>
      <c r="CK163" s="71">
        <f t="shared" si="112"/>
        <v>16.972034715525556</v>
      </c>
      <c r="CL163" s="71">
        <f t="shared" si="113"/>
        <v>70.97396335583413</v>
      </c>
      <c r="CM163" s="71">
        <f t="shared" si="114"/>
        <v>99.999999999999986</v>
      </c>
      <c r="CN163" s="72" t="s">
        <v>70</v>
      </c>
      <c r="CO163" s="71"/>
      <c r="CP163" s="71"/>
      <c r="CQ163" s="72" t="s">
        <v>77</v>
      </c>
      <c r="CR163" s="71"/>
      <c r="CS163" s="71"/>
      <c r="CT163" s="71"/>
      <c r="CU163" s="138">
        <f t="shared" si="115"/>
        <v>99.999999999999986</v>
      </c>
      <c r="CV163" s="138">
        <f t="shared" si="116"/>
        <v>70.97396335583413</v>
      </c>
      <c r="CW163" s="138">
        <f t="shared" si="117"/>
        <v>16.972034715525556</v>
      </c>
      <c r="CX163" s="138">
        <f t="shared" si="118"/>
        <v>22.468659594985535</v>
      </c>
      <c r="CY163" s="138">
        <f t="shared" si="119"/>
        <v>6.075216972034716</v>
      </c>
      <c r="CZ163" s="138">
        <f t="shared" si="120"/>
        <v>0.48216007714561238</v>
      </c>
      <c r="DA163" s="5"/>
      <c r="DB163" s="5"/>
      <c r="DC163" s="12"/>
      <c r="DD163" s="5"/>
      <c r="DE163" s="5"/>
      <c r="DF163" s="5"/>
      <c r="DG163" s="5"/>
      <c r="DH163" s="5"/>
      <c r="DI163" s="5"/>
      <c r="DJ163" s="6" t="s">
        <v>271</v>
      </c>
      <c r="DK163" s="5"/>
      <c r="DL163" s="5"/>
      <c r="DM163" s="5"/>
      <c r="DN163" s="5"/>
      <c r="DO163" s="5"/>
      <c r="DP163" s="5"/>
      <c r="DQ163" s="8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18"/>
      <c r="EY163" s="5"/>
      <c r="EZ163" s="6" t="s">
        <v>231</v>
      </c>
      <c r="FA163" s="5"/>
      <c r="FB163" s="5"/>
      <c r="FC163" s="5"/>
      <c r="FD163" s="5"/>
      <c r="FE163" s="6" t="s">
        <v>221</v>
      </c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8"/>
      <c r="FX163" s="8"/>
      <c r="FY163" s="8"/>
      <c r="FZ163" s="8"/>
      <c r="GA163" s="154"/>
      <c r="GB163" s="8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</row>
    <row r="164" spans="1:249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71">
        <f t="shared" si="109"/>
        <v>1.4559386973180077</v>
      </c>
      <c r="CI164" s="71">
        <f t="shared" si="110"/>
        <v>4.7126436781609193</v>
      </c>
      <c r="CJ164" s="71">
        <f t="shared" si="111"/>
        <v>31.417624521072796</v>
      </c>
      <c r="CK164" s="71">
        <f t="shared" si="112"/>
        <v>16.934865900383141</v>
      </c>
      <c r="CL164" s="71">
        <f t="shared" si="113"/>
        <v>62.413793103448278</v>
      </c>
      <c r="CM164" s="71">
        <f t="shared" si="114"/>
        <v>99.999999999999986</v>
      </c>
      <c r="CN164" s="72" t="s">
        <v>175</v>
      </c>
      <c r="CO164" s="71"/>
      <c r="CP164" s="71"/>
      <c r="CQ164" s="72" t="s">
        <v>176</v>
      </c>
      <c r="CR164" s="71"/>
      <c r="CS164" s="71"/>
      <c r="CT164" s="71"/>
      <c r="CU164" s="138">
        <f t="shared" si="115"/>
        <v>99.999999999999986</v>
      </c>
      <c r="CV164" s="138">
        <f t="shared" si="116"/>
        <v>62.413793103448278</v>
      </c>
      <c r="CW164" s="138">
        <f t="shared" si="117"/>
        <v>16.934865900383141</v>
      </c>
      <c r="CX164" s="138">
        <f t="shared" si="118"/>
        <v>31.417624521072796</v>
      </c>
      <c r="CY164" s="138">
        <f t="shared" si="119"/>
        <v>4.7126436781609193</v>
      </c>
      <c r="CZ164" s="138">
        <f t="shared" si="120"/>
        <v>1.4559386973180077</v>
      </c>
      <c r="DA164" s="5"/>
      <c r="DB164" s="5"/>
      <c r="DC164" s="12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6" t="s">
        <v>219</v>
      </c>
      <c r="EY164" s="5"/>
      <c r="EZ164" s="18"/>
      <c r="FA164" s="5"/>
      <c r="FB164" s="5"/>
      <c r="FC164" s="5"/>
      <c r="FD164" s="5"/>
      <c r="FE164" s="6" t="s">
        <v>222</v>
      </c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8">
        <f>FY219</f>
        <v>2249</v>
      </c>
      <c r="FX164" s="8">
        <f>FY139</f>
        <v>2091</v>
      </c>
      <c r="FY164" s="8">
        <f>FY88</f>
        <v>2126</v>
      </c>
      <c r="FZ164" s="8" t="e">
        <f>+#REF!</f>
        <v>#REF!</v>
      </c>
      <c r="GA164" s="154" t="e">
        <f>#REF!</f>
        <v>#REF!</v>
      </c>
      <c r="GB164" s="11" t="s">
        <v>216</v>
      </c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</row>
    <row r="165" spans="1:249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71">
        <f t="shared" si="109"/>
        <v>3.4013605442176873</v>
      </c>
      <c r="CI165" s="71">
        <f t="shared" si="110"/>
        <v>3.5583464154892726</v>
      </c>
      <c r="CJ165" s="71">
        <f t="shared" si="111"/>
        <v>17.373103087388802</v>
      </c>
      <c r="CK165" s="71">
        <f t="shared" si="112"/>
        <v>27.315541601255887</v>
      </c>
      <c r="CL165" s="71">
        <f t="shared" si="113"/>
        <v>75.667189952904238</v>
      </c>
      <c r="CM165" s="71">
        <f t="shared" si="114"/>
        <v>99.999999999999986</v>
      </c>
      <c r="CN165" s="72" t="s">
        <v>177</v>
      </c>
      <c r="CO165" s="71"/>
      <c r="CP165" s="71"/>
      <c r="CQ165" s="72" t="s">
        <v>178</v>
      </c>
      <c r="CR165" s="71"/>
      <c r="CS165" s="71"/>
      <c r="CT165" s="71"/>
      <c r="CU165" s="138">
        <f t="shared" si="115"/>
        <v>99.999999999999986</v>
      </c>
      <c r="CV165" s="138">
        <f t="shared" si="116"/>
        <v>75.667189952904238</v>
      </c>
      <c r="CW165" s="138">
        <f t="shared" si="117"/>
        <v>27.315541601255887</v>
      </c>
      <c r="CX165" s="138">
        <f t="shared" si="118"/>
        <v>17.373103087388802</v>
      </c>
      <c r="CY165" s="138">
        <f t="shared" si="119"/>
        <v>3.5583464154892726</v>
      </c>
      <c r="CZ165" s="138">
        <f t="shared" si="120"/>
        <v>3.4013605442176873</v>
      </c>
      <c r="DA165" s="5"/>
      <c r="DB165" s="5"/>
      <c r="DC165" s="12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19" t="s">
        <v>86</v>
      </c>
      <c r="DO165" s="5"/>
      <c r="DP165" s="5"/>
      <c r="DQ165" s="8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19" t="s">
        <v>252</v>
      </c>
      <c r="FA165" s="5"/>
      <c r="FB165" s="5"/>
      <c r="FC165" s="5"/>
      <c r="FD165" s="5"/>
      <c r="FE165" s="6" t="s">
        <v>253</v>
      </c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8">
        <f>308+131+182</f>
        <v>621</v>
      </c>
      <c r="FX165" s="8">
        <v>579</v>
      </c>
      <c r="FY165" s="8">
        <v>610</v>
      </c>
      <c r="FZ165" s="8">
        <v>632</v>
      </c>
      <c r="GA165" s="154">
        <v>530</v>
      </c>
      <c r="GB165" s="6" t="s">
        <v>284</v>
      </c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</row>
    <row r="166" spans="1:249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71">
        <f t="shared" si="109"/>
        <v>1.40405616224649</v>
      </c>
      <c r="CI166" s="71">
        <f t="shared" si="110"/>
        <v>1.1700468018720749</v>
      </c>
      <c r="CJ166" s="71">
        <f t="shared" si="111"/>
        <v>19.578783151326054</v>
      </c>
      <c r="CK166" s="71">
        <f t="shared" si="112"/>
        <v>27.457098283931359</v>
      </c>
      <c r="CL166" s="71">
        <f t="shared" si="113"/>
        <v>77.847113884555384</v>
      </c>
      <c r="CM166" s="71">
        <f t="shared" si="114"/>
        <v>100</v>
      </c>
      <c r="CN166" s="72" t="s">
        <v>149</v>
      </c>
      <c r="CO166" s="71"/>
      <c r="CP166" s="71"/>
      <c r="CQ166" s="72" t="s">
        <v>150</v>
      </c>
      <c r="CR166" s="71"/>
      <c r="CS166" s="71"/>
      <c r="CT166" s="71"/>
      <c r="CU166" s="138">
        <f t="shared" si="115"/>
        <v>100</v>
      </c>
      <c r="CV166" s="138">
        <f t="shared" si="116"/>
        <v>77.847113884555384</v>
      </c>
      <c r="CW166" s="138">
        <f t="shared" si="117"/>
        <v>27.457098283931359</v>
      </c>
      <c r="CX166" s="138">
        <f t="shared" si="118"/>
        <v>19.578783151326054</v>
      </c>
      <c r="CY166" s="138">
        <f t="shared" si="119"/>
        <v>1.1700468018720749</v>
      </c>
      <c r="CZ166" s="138">
        <f t="shared" si="120"/>
        <v>1.40405616224649</v>
      </c>
      <c r="DA166" s="5"/>
      <c r="DB166" s="5"/>
      <c r="DC166" s="12"/>
      <c r="DD166" s="5"/>
      <c r="DE166" s="5"/>
      <c r="DF166" s="5"/>
      <c r="DG166" s="5"/>
      <c r="DH166" s="6" t="s">
        <v>37</v>
      </c>
      <c r="DI166" s="6" t="s">
        <v>161</v>
      </c>
      <c r="DJ166" s="6" t="s">
        <v>39</v>
      </c>
      <c r="DK166" s="19" t="s">
        <v>7</v>
      </c>
      <c r="DL166" s="19" t="s">
        <v>40</v>
      </c>
      <c r="DM166" s="19" t="s">
        <v>41</v>
      </c>
      <c r="DN166" s="19" t="s">
        <v>42</v>
      </c>
      <c r="DO166" s="19" t="s">
        <v>43</v>
      </c>
      <c r="DP166" s="19" t="s">
        <v>44</v>
      </c>
      <c r="DQ166" s="8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18"/>
      <c r="EV166" s="18"/>
      <c r="EW166" s="18"/>
      <c r="EX166" s="18"/>
      <c r="EY166" s="18"/>
      <c r="EZ166" s="18"/>
      <c r="FA166" s="18"/>
      <c r="FB166" s="18"/>
      <c r="FC166" s="18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154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</row>
    <row r="167" spans="1:249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71">
        <f t="shared" si="109"/>
        <v>0.81632653061224492</v>
      </c>
      <c r="CI167" s="71">
        <f t="shared" si="110"/>
        <v>3.1836734693877551</v>
      </c>
      <c r="CJ167" s="71">
        <f t="shared" si="111"/>
        <v>27.755102040816325</v>
      </c>
      <c r="CK167" s="71">
        <f t="shared" si="112"/>
        <v>27.020408163265309</v>
      </c>
      <c r="CL167" s="71">
        <f t="shared" si="113"/>
        <v>68.244897959183675</v>
      </c>
      <c r="CM167" s="71">
        <f t="shared" si="114"/>
        <v>100</v>
      </c>
      <c r="CN167" s="72" t="s">
        <v>183</v>
      </c>
      <c r="CO167" s="71"/>
      <c r="CP167" s="71"/>
      <c r="CQ167" s="72" t="s">
        <v>184</v>
      </c>
      <c r="CR167" s="71"/>
      <c r="CS167" s="71"/>
      <c r="CT167" s="71"/>
      <c r="CU167" s="138">
        <f t="shared" si="115"/>
        <v>100</v>
      </c>
      <c r="CV167" s="138">
        <f t="shared" si="116"/>
        <v>68.244897959183675</v>
      </c>
      <c r="CW167" s="138">
        <f t="shared" si="117"/>
        <v>27.020408163265309</v>
      </c>
      <c r="CX167" s="138">
        <f t="shared" si="118"/>
        <v>27.755102040816325</v>
      </c>
      <c r="CY167" s="138">
        <f t="shared" si="119"/>
        <v>3.1836734693877551</v>
      </c>
      <c r="CZ167" s="138">
        <f t="shared" si="120"/>
        <v>0.81632653061224492</v>
      </c>
      <c r="DA167" s="5"/>
      <c r="DB167" s="5"/>
      <c r="DC167" s="12"/>
      <c r="DD167" s="5"/>
      <c r="DE167" s="5"/>
      <c r="DF167" s="5"/>
      <c r="DG167" s="5"/>
      <c r="DH167" s="138" t="e">
        <f t="shared" ref="DH167:DP167" si="121">SUM(DH168:DH175)</f>
        <v>#REF!</v>
      </c>
      <c r="DI167" s="138" t="e">
        <f t="shared" si="121"/>
        <v>#REF!</v>
      </c>
      <c r="DJ167" s="138" t="e">
        <f t="shared" si="121"/>
        <v>#REF!</v>
      </c>
      <c r="DK167" s="138" t="e">
        <f t="shared" si="121"/>
        <v>#REF!</v>
      </c>
      <c r="DL167" s="138" t="e">
        <f t="shared" si="121"/>
        <v>#REF!</v>
      </c>
      <c r="DM167" s="138" t="e">
        <f t="shared" si="121"/>
        <v>#REF!</v>
      </c>
      <c r="DN167" s="138" t="e">
        <f t="shared" si="121"/>
        <v>#REF!</v>
      </c>
      <c r="DO167" s="138" t="e">
        <f t="shared" si="121"/>
        <v>#REF!</v>
      </c>
      <c r="DP167" s="138" t="e">
        <f t="shared" si="121"/>
        <v>#REF!</v>
      </c>
      <c r="DQ167" s="72" t="s">
        <v>72</v>
      </c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154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</row>
    <row r="168" spans="1:249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72" t="s">
        <v>124</v>
      </c>
      <c r="CI168" s="71">
        <f t="shared" si="110"/>
        <v>72.368421052631575</v>
      </c>
      <c r="CJ168" s="71">
        <f t="shared" si="111"/>
        <v>27.631578947368425</v>
      </c>
      <c r="CK168" s="72" t="s">
        <v>124</v>
      </c>
      <c r="CL168" s="72" t="s">
        <v>124</v>
      </c>
      <c r="CM168" s="71">
        <f t="shared" si="114"/>
        <v>100</v>
      </c>
      <c r="CN168" s="72" t="s">
        <v>187</v>
      </c>
      <c r="CO168" s="71"/>
      <c r="CP168" s="71"/>
      <c r="CQ168" s="72" t="s">
        <v>188</v>
      </c>
      <c r="CR168" s="71"/>
      <c r="CS168" s="71"/>
      <c r="CT168" s="71"/>
      <c r="CU168" s="138">
        <f t="shared" si="115"/>
        <v>100</v>
      </c>
      <c r="CV168" s="138" t="str">
        <f t="shared" si="116"/>
        <v>-</v>
      </c>
      <c r="CW168" s="138" t="str">
        <f t="shared" si="117"/>
        <v>-</v>
      </c>
      <c r="CX168" s="138">
        <f t="shared" si="118"/>
        <v>27.631578947368425</v>
      </c>
      <c r="CY168" s="138">
        <f t="shared" si="119"/>
        <v>72.368421052631575</v>
      </c>
      <c r="CZ168" s="138" t="str">
        <f t="shared" si="120"/>
        <v>-</v>
      </c>
      <c r="DA168" s="5"/>
      <c r="DB168" s="5"/>
      <c r="DC168" s="12"/>
      <c r="DD168" s="5"/>
      <c r="DE168" s="5"/>
      <c r="DF168" s="5"/>
      <c r="DG168" s="5"/>
      <c r="DH168" s="71" t="e">
        <f t="shared" ref="DH168:DP168" si="122">DH148/DH$147*100</f>
        <v>#REF!</v>
      </c>
      <c r="DI168" s="71" t="e">
        <f t="shared" si="122"/>
        <v>#REF!</v>
      </c>
      <c r="DJ168" s="71" t="e">
        <f t="shared" si="122"/>
        <v>#REF!</v>
      </c>
      <c r="DK168" s="71" t="e">
        <f t="shared" si="122"/>
        <v>#REF!</v>
      </c>
      <c r="DL168" s="71" t="e">
        <f t="shared" si="122"/>
        <v>#REF!</v>
      </c>
      <c r="DM168" s="71" t="e">
        <f t="shared" si="122"/>
        <v>#REF!</v>
      </c>
      <c r="DN168" s="71" t="e">
        <f t="shared" si="122"/>
        <v>#REF!</v>
      </c>
      <c r="DO168" s="71" t="e">
        <f t="shared" si="122"/>
        <v>#REF!</v>
      </c>
      <c r="DP168" s="71" t="e">
        <f t="shared" si="122"/>
        <v>#REF!</v>
      </c>
      <c r="DQ168" s="72" t="s">
        <v>226</v>
      </c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8">
        <f>FW169</f>
        <v>556</v>
      </c>
      <c r="FX168" s="8">
        <f>FX169</f>
        <v>536</v>
      </c>
      <c r="FY168" s="8">
        <f>FY169</f>
        <v>498</v>
      </c>
      <c r="FZ168" s="8">
        <f>FZ169</f>
        <v>434</v>
      </c>
      <c r="GA168" s="8">
        <f>GA169</f>
        <v>406</v>
      </c>
      <c r="GB168" s="153" t="s">
        <v>285</v>
      </c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</row>
    <row r="169" spans="1:249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5"/>
      <c r="CT169" s="5"/>
      <c r="CU169" s="34"/>
      <c r="CV169" s="34"/>
      <c r="CW169" s="34"/>
      <c r="CX169" s="34"/>
      <c r="CY169" s="34"/>
      <c r="CZ169" s="34"/>
      <c r="DA169" s="5"/>
      <c r="DB169" s="5"/>
      <c r="DC169" s="12"/>
      <c r="DD169" s="5"/>
      <c r="DE169" s="5"/>
      <c r="DF169" s="5"/>
      <c r="DG169" s="5"/>
      <c r="DH169" s="71" t="e">
        <f t="shared" ref="DH169:DP169" si="123">DH149/DH$147*100</f>
        <v>#REF!</v>
      </c>
      <c r="DI169" s="71" t="e">
        <f t="shared" si="123"/>
        <v>#REF!</v>
      </c>
      <c r="DJ169" s="71" t="e">
        <f t="shared" si="123"/>
        <v>#REF!</v>
      </c>
      <c r="DK169" s="71" t="e">
        <f t="shared" si="123"/>
        <v>#REF!</v>
      </c>
      <c r="DL169" s="71" t="e">
        <f t="shared" si="123"/>
        <v>#REF!</v>
      </c>
      <c r="DM169" s="71" t="e">
        <f t="shared" si="123"/>
        <v>#REF!</v>
      </c>
      <c r="DN169" s="71" t="e">
        <f t="shared" si="123"/>
        <v>#REF!</v>
      </c>
      <c r="DO169" s="71" t="e">
        <f t="shared" si="123"/>
        <v>#REF!</v>
      </c>
      <c r="DP169" s="71" t="e">
        <f t="shared" si="123"/>
        <v>#REF!</v>
      </c>
      <c r="DQ169" s="72" t="s">
        <v>155</v>
      </c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8">
        <f>'[2]T308-317'!GY61</f>
        <v>556</v>
      </c>
      <c r="FX169" s="8">
        <f>'[2]T308-317'!GY60</f>
        <v>536</v>
      </c>
      <c r="FY169" s="8">
        <f>'[2]T308-317'!GY59</f>
        <v>498</v>
      </c>
      <c r="FZ169" s="8">
        <f>'[2]T308-317'!GY58</f>
        <v>434</v>
      </c>
      <c r="GA169" s="8">
        <f>'[2]T308-317'!GY56</f>
        <v>406</v>
      </c>
      <c r="GB169" s="6" t="s">
        <v>286</v>
      </c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</row>
    <row r="170" spans="1:249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5"/>
      <c r="CT170" s="5"/>
      <c r="CU170" s="34"/>
      <c r="CV170" s="34"/>
      <c r="CW170" s="34"/>
      <c r="CX170" s="34"/>
      <c r="CY170" s="34"/>
      <c r="CZ170" s="34"/>
      <c r="DA170" s="5"/>
      <c r="DB170" s="5"/>
      <c r="DC170" s="12"/>
      <c r="DD170" s="5"/>
      <c r="DE170" s="5"/>
      <c r="DF170" s="5"/>
      <c r="DG170" s="5"/>
      <c r="DH170" s="71" t="e">
        <f t="shared" ref="DH170:DP170" si="124">DH150/DH$147*100</f>
        <v>#REF!</v>
      </c>
      <c r="DI170" s="71" t="e">
        <f t="shared" si="124"/>
        <v>#REF!</v>
      </c>
      <c r="DJ170" s="71" t="e">
        <f t="shared" si="124"/>
        <v>#REF!</v>
      </c>
      <c r="DK170" s="71" t="e">
        <f t="shared" si="124"/>
        <v>#REF!</v>
      </c>
      <c r="DL170" s="71" t="e">
        <f t="shared" si="124"/>
        <v>#REF!</v>
      </c>
      <c r="DM170" s="71" t="e">
        <f t="shared" si="124"/>
        <v>#REF!</v>
      </c>
      <c r="DN170" s="71" t="e">
        <f t="shared" si="124"/>
        <v>#REF!</v>
      </c>
      <c r="DO170" s="71" t="e">
        <f t="shared" si="124"/>
        <v>#REF!</v>
      </c>
      <c r="DP170" s="71" t="e">
        <f t="shared" si="124"/>
        <v>#REF!</v>
      </c>
      <c r="DQ170" s="72" t="s">
        <v>166</v>
      </c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6" t="s">
        <v>287</v>
      </c>
      <c r="FO170" s="5"/>
      <c r="FP170" s="5"/>
      <c r="FQ170" s="5"/>
      <c r="FR170" s="5"/>
      <c r="FS170" s="5"/>
      <c r="FT170" s="5"/>
      <c r="FU170" s="5"/>
      <c r="FV170" s="5"/>
      <c r="FW170" s="8">
        <f>60+40+230+73+48</f>
        <v>451</v>
      </c>
      <c r="FX170" s="8">
        <v>160</v>
      </c>
      <c r="FY170" s="8">
        <v>41</v>
      </c>
      <c r="FZ170" s="8">
        <v>30</v>
      </c>
      <c r="GA170" s="154">
        <v>46</v>
      </c>
      <c r="GB170" s="6" t="s">
        <v>288</v>
      </c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</row>
    <row r="171" spans="1:249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71">
        <f t="shared" ref="CH171:CM171" si="125">SUM(CH172:CH178)</f>
        <v>100</v>
      </c>
      <c r="CI171" s="71">
        <f t="shared" si="125"/>
        <v>100</v>
      </c>
      <c r="CJ171" s="71">
        <f t="shared" si="125"/>
        <v>100</v>
      </c>
      <c r="CK171" s="71">
        <f t="shared" si="125"/>
        <v>99.999999999999986</v>
      </c>
      <c r="CL171" s="71">
        <f t="shared" si="125"/>
        <v>100</v>
      </c>
      <c r="CM171" s="71">
        <f t="shared" si="125"/>
        <v>99.999999999999986</v>
      </c>
      <c r="CN171" s="72" t="s">
        <v>72</v>
      </c>
      <c r="CO171" s="71"/>
      <c r="CP171" s="71"/>
      <c r="CQ171" s="11" t="s">
        <v>75</v>
      </c>
      <c r="CR171" s="71"/>
      <c r="CS171" s="5"/>
      <c r="CT171" s="5"/>
      <c r="CU171" s="138">
        <f t="shared" ref="CU171:CU178" si="126">CM171</f>
        <v>99.999999999999986</v>
      </c>
      <c r="CV171" s="138">
        <f t="shared" ref="CV171:CV178" si="127">CL171</f>
        <v>100</v>
      </c>
      <c r="CW171" s="138">
        <f t="shared" ref="CW171:CW178" si="128">CK171</f>
        <v>99.999999999999986</v>
      </c>
      <c r="CX171" s="138">
        <f t="shared" ref="CX171:CX178" si="129">CJ171</f>
        <v>100</v>
      </c>
      <c r="CY171" s="138">
        <f t="shared" ref="CY171:CY178" si="130">CI171</f>
        <v>100</v>
      </c>
      <c r="CZ171" s="138">
        <f t="shared" ref="CZ171:CZ178" si="131">CH171</f>
        <v>100</v>
      </c>
      <c r="DA171" s="5"/>
      <c r="DB171" s="5"/>
      <c r="DC171" s="12"/>
      <c r="DD171" s="5"/>
      <c r="DE171" s="5"/>
      <c r="DF171" s="5"/>
      <c r="DG171" s="5"/>
      <c r="DH171" s="71" t="e">
        <f t="shared" ref="DH171:DP171" si="132">DH151/DH$147*100</f>
        <v>#REF!</v>
      </c>
      <c r="DI171" s="71" t="e">
        <f t="shared" si="132"/>
        <v>#REF!</v>
      </c>
      <c r="DJ171" s="71" t="e">
        <f t="shared" si="132"/>
        <v>#REF!</v>
      </c>
      <c r="DK171" s="71" t="e">
        <f t="shared" si="132"/>
        <v>#REF!</v>
      </c>
      <c r="DL171" s="71" t="e">
        <f t="shared" si="132"/>
        <v>#REF!</v>
      </c>
      <c r="DM171" s="71" t="e">
        <f t="shared" si="132"/>
        <v>#REF!</v>
      </c>
      <c r="DN171" s="71" t="e">
        <f t="shared" si="132"/>
        <v>#REF!</v>
      </c>
      <c r="DO171" s="71" t="e">
        <f t="shared" si="132"/>
        <v>#REF!</v>
      </c>
      <c r="DP171" s="71" t="e">
        <f t="shared" si="132"/>
        <v>#REF!</v>
      </c>
      <c r="DQ171" s="72" t="s">
        <v>172</v>
      </c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11" t="s">
        <v>101</v>
      </c>
      <c r="FF171" s="5"/>
      <c r="FG171" s="5"/>
      <c r="FH171" s="5"/>
      <c r="FI171" s="5"/>
      <c r="FJ171" s="73">
        <v>900</v>
      </c>
      <c r="FK171" s="73">
        <v>581</v>
      </c>
      <c r="FL171" s="73">
        <v>100</v>
      </c>
      <c r="FM171" s="73">
        <f>SUM(FM172:FM180)</f>
        <v>219.58099999999996</v>
      </c>
      <c r="FN171" s="73">
        <f t="shared" ref="FN171:FN180" si="133">FM171/(FJ171-FL171)</f>
        <v>0.27447624999999998</v>
      </c>
      <c r="FO171" s="5"/>
      <c r="FP171" s="5"/>
      <c r="FQ171" s="5"/>
      <c r="FR171" s="5"/>
      <c r="FS171" s="5"/>
      <c r="FT171" s="5"/>
      <c r="FU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</row>
    <row r="172" spans="1:249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71">
        <f t="shared" ref="CH172:CM172" si="134">CH152/CH151*100</f>
        <v>12.820512820512819</v>
      </c>
      <c r="CI172" s="71">
        <f t="shared" si="134"/>
        <v>33.638025594149909</v>
      </c>
      <c r="CJ172" s="71">
        <f t="shared" si="134"/>
        <v>22.356143079315707</v>
      </c>
      <c r="CK172" s="71">
        <f t="shared" si="134"/>
        <v>19.443216968625716</v>
      </c>
      <c r="CL172" s="71">
        <f t="shared" si="134"/>
        <v>18.129079042784628</v>
      </c>
      <c r="CM172" s="71">
        <f t="shared" si="134"/>
        <v>19.950835791543756</v>
      </c>
      <c r="CN172" s="72" t="s">
        <v>144</v>
      </c>
      <c r="CO172" s="71"/>
      <c r="CP172" s="71"/>
      <c r="CQ172" s="11" t="s">
        <v>145</v>
      </c>
      <c r="CR172" s="71"/>
      <c r="CS172" s="5"/>
      <c r="CT172" s="5"/>
      <c r="CU172" s="138">
        <f t="shared" si="126"/>
        <v>19.950835791543756</v>
      </c>
      <c r="CV172" s="138">
        <f t="shared" si="127"/>
        <v>18.129079042784628</v>
      </c>
      <c r="CW172" s="138">
        <f t="shared" si="128"/>
        <v>19.443216968625716</v>
      </c>
      <c r="CX172" s="138">
        <f t="shared" si="129"/>
        <v>22.356143079315707</v>
      </c>
      <c r="CY172" s="138">
        <f t="shared" si="130"/>
        <v>33.638025594149909</v>
      </c>
      <c r="CZ172" s="138">
        <f t="shared" si="131"/>
        <v>12.820512820512819</v>
      </c>
      <c r="DA172" s="5"/>
      <c r="DB172" s="5"/>
      <c r="DC172" s="12"/>
      <c r="DD172" s="5"/>
      <c r="DE172" s="5"/>
      <c r="DF172" s="5"/>
      <c r="DG172" s="5"/>
      <c r="DH172" s="71" t="e">
        <f t="shared" ref="DH172:DP172" si="135">DH152/DH$147*100</f>
        <v>#REF!</v>
      </c>
      <c r="DI172" s="71" t="e">
        <f t="shared" si="135"/>
        <v>#REF!</v>
      </c>
      <c r="DJ172" s="71" t="e">
        <f t="shared" si="135"/>
        <v>#REF!</v>
      </c>
      <c r="DK172" s="71" t="e">
        <f t="shared" si="135"/>
        <v>#REF!</v>
      </c>
      <c r="DL172" s="71" t="e">
        <f t="shared" si="135"/>
        <v>#REF!</v>
      </c>
      <c r="DM172" s="71" t="e">
        <f t="shared" si="135"/>
        <v>#REF!</v>
      </c>
      <c r="DN172" s="71" t="e">
        <f t="shared" si="135"/>
        <v>#REF!</v>
      </c>
      <c r="DO172" s="71" t="e">
        <f t="shared" si="135"/>
        <v>#REF!</v>
      </c>
      <c r="DP172" s="71" t="e">
        <f t="shared" si="135"/>
        <v>#REF!</v>
      </c>
      <c r="DQ172" s="72" t="s">
        <v>210</v>
      </c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11" t="s">
        <v>139</v>
      </c>
      <c r="FF172" s="5"/>
      <c r="FG172" s="5"/>
      <c r="FH172" s="5"/>
      <c r="FI172" s="5"/>
      <c r="FJ172" s="73">
        <v>146</v>
      </c>
      <c r="FK172" s="73">
        <f>0.18*FK171</f>
        <v>104.58</v>
      </c>
      <c r="FL172" s="73">
        <f>0.09*FL171</f>
        <v>9</v>
      </c>
      <c r="FM172" s="73">
        <f>FJ172-FK172-FL172</f>
        <v>32.42</v>
      </c>
      <c r="FN172" s="73">
        <f t="shared" si="133"/>
        <v>0.23664233576642338</v>
      </c>
      <c r="FO172" s="5"/>
      <c r="FP172" s="5"/>
      <c r="FQ172" s="5"/>
      <c r="FR172" s="5"/>
      <c r="FS172" s="5"/>
      <c r="FT172" s="5"/>
      <c r="FU172" s="5"/>
      <c r="FV172" s="5"/>
      <c r="FW172" s="8">
        <f>FW173</f>
        <v>6796.0000000000036</v>
      </c>
      <c r="FX172" s="8">
        <f>FX173</f>
        <v>6065</v>
      </c>
      <c r="FY172" s="8">
        <f>FY173</f>
        <v>5615.9999999999973</v>
      </c>
      <c r="FZ172" s="8">
        <f>FZ173</f>
        <v>4228.9999999999973</v>
      </c>
      <c r="GA172" s="8">
        <f>GA173</f>
        <v>3731</v>
      </c>
      <c r="GB172" s="6" t="s">
        <v>289</v>
      </c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</row>
    <row r="173" spans="1:249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71">
        <f t="shared" ref="CH173:CM173" si="136">CH153/CH151*100</f>
        <v>3.2051282051282048</v>
      </c>
      <c r="CI173" s="71">
        <f t="shared" si="136"/>
        <v>11.517367458866545</v>
      </c>
      <c r="CJ173" s="71">
        <f t="shared" si="136"/>
        <v>9.0590979782270615</v>
      </c>
      <c r="CK173" s="71">
        <f t="shared" si="136"/>
        <v>7.7772867874502865</v>
      </c>
      <c r="CL173" s="71">
        <f t="shared" si="136"/>
        <v>10.674401740391588</v>
      </c>
      <c r="CM173" s="71">
        <f t="shared" si="136"/>
        <v>10.196656833824976</v>
      </c>
      <c r="CN173" s="72" t="s">
        <v>70</v>
      </c>
      <c r="CO173" s="71"/>
      <c r="CP173" s="71"/>
      <c r="CQ173" s="11" t="s">
        <v>77</v>
      </c>
      <c r="CR173" s="71"/>
      <c r="CS173" s="5"/>
      <c r="CT173" s="5"/>
      <c r="CU173" s="138">
        <f t="shared" si="126"/>
        <v>10.196656833824976</v>
      </c>
      <c r="CV173" s="138">
        <f t="shared" si="127"/>
        <v>10.674401740391588</v>
      </c>
      <c r="CW173" s="138">
        <f t="shared" si="128"/>
        <v>7.7772867874502865</v>
      </c>
      <c r="CX173" s="138">
        <f t="shared" si="129"/>
        <v>9.0590979782270615</v>
      </c>
      <c r="CY173" s="138">
        <f t="shared" si="130"/>
        <v>11.517367458866545</v>
      </c>
      <c r="CZ173" s="138">
        <f t="shared" si="131"/>
        <v>3.2051282051282048</v>
      </c>
      <c r="DA173" s="5"/>
      <c r="DB173" s="5"/>
      <c r="DC173" s="12"/>
      <c r="DD173" s="5"/>
      <c r="DE173" s="5"/>
      <c r="DF173" s="5"/>
      <c r="DG173" s="5"/>
      <c r="DH173" s="71" t="e">
        <f t="shared" ref="DH173:DP173" si="137">DH153/DH$147*100</f>
        <v>#REF!</v>
      </c>
      <c r="DI173" s="71" t="e">
        <f t="shared" si="137"/>
        <v>#REF!</v>
      </c>
      <c r="DJ173" s="71" t="e">
        <f t="shared" si="137"/>
        <v>#REF!</v>
      </c>
      <c r="DK173" s="71" t="e">
        <f t="shared" si="137"/>
        <v>#REF!</v>
      </c>
      <c r="DL173" s="71" t="e">
        <f t="shared" si="137"/>
        <v>#REF!</v>
      </c>
      <c r="DM173" s="71" t="e">
        <f t="shared" si="137"/>
        <v>#REF!</v>
      </c>
      <c r="DN173" s="71" t="e">
        <f t="shared" si="137"/>
        <v>#REF!</v>
      </c>
      <c r="DO173" s="71" t="e">
        <f t="shared" si="137"/>
        <v>#REF!</v>
      </c>
      <c r="DP173" s="71" t="e">
        <f t="shared" si="137"/>
        <v>#REF!</v>
      </c>
      <c r="DQ173" s="72" t="s">
        <v>211</v>
      </c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11" t="s">
        <v>218</v>
      </c>
      <c r="FF173" s="5"/>
      <c r="FG173" s="5"/>
      <c r="FH173" s="5"/>
      <c r="FI173" s="5"/>
      <c r="FJ173" s="73">
        <v>78</v>
      </c>
      <c r="FK173" s="73">
        <f>0.111*FK171</f>
        <v>64.491</v>
      </c>
      <c r="FL173" s="5"/>
      <c r="FM173" s="73">
        <f>FJ173-FK173-FL173</f>
        <v>13.509</v>
      </c>
      <c r="FN173" s="73">
        <f t="shared" si="133"/>
        <v>0.1731923076923077</v>
      </c>
      <c r="FO173" s="5"/>
      <c r="FP173" s="5"/>
      <c r="FQ173" s="5"/>
      <c r="FR173" s="5"/>
      <c r="FS173" s="5"/>
      <c r="FT173" s="5"/>
      <c r="FU173" s="5"/>
      <c r="FV173" s="73">
        <f>FW173/GA173</f>
        <v>1.8214955775931396</v>
      </c>
      <c r="FW173" s="8">
        <f>'[2]T308-317'!FA7*'[2]T308-317'!FA16/100</f>
        <v>6796.0000000000036</v>
      </c>
      <c r="FX173" s="8">
        <f>'[2]T308-317'!FB7*'[2]T308-317'!FB16/100</f>
        <v>6065</v>
      </c>
      <c r="FY173" s="8">
        <f>'[2]T308-317'!FC7*'[2]T308-317'!FC16/100</f>
        <v>5615.9999999999973</v>
      </c>
      <c r="FZ173" s="8">
        <f>'[2]T308-317'!FD7*'[2]T308-317'!FD16/100</f>
        <v>4228.9999999999973</v>
      </c>
      <c r="GA173" s="8">
        <f>'[2]T308-317'!FF7*'[2]T308-317'!FF16/100</f>
        <v>3731</v>
      </c>
      <c r="GB173" s="6" t="s">
        <v>240</v>
      </c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</row>
    <row r="174" spans="1:249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71">
        <f t="shared" ref="CH174:CM174" si="138">CH154/CH151*100</f>
        <v>24.358974358974358</v>
      </c>
      <c r="CI174" s="71">
        <f t="shared" si="138"/>
        <v>22.486288848263253</v>
      </c>
      <c r="CJ174" s="71">
        <f t="shared" si="138"/>
        <v>31.88180404354588</v>
      </c>
      <c r="CK174" s="71">
        <f t="shared" si="138"/>
        <v>19.531595227574016</v>
      </c>
      <c r="CL174" s="71">
        <f t="shared" si="138"/>
        <v>23.625815808556926</v>
      </c>
      <c r="CM174" s="71">
        <f t="shared" si="138"/>
        <v>25.663716814159294</v>
      </c>
      <c r="CN174" s="72" t="s">
        <v>175</v>
      </c>
      <c r="CO174" s="71"/>
      <c r="CP174" s="71"/>
      <c r="CQ174" s="11" t="s">
        <v>176</v>
      </c>
      <c r="CR174" s="71"/>
      <c r="CS174" s="5"/>
      <c r="CT174" s="5"/>
      <c r="CU174" s="138">
        <f t="shared" si="126"/>
        <v>25.663716814159294</v>
      </c>
      <c r="CV174" s="138">
        <f t="shared" si="127"/>
        <v>23.625815808556926</v>
      </c>
      <c r="CW174" s="138">
        <f t="shared" si="128"/>
        <v>19.531595227574016</v>
      </c>
      <c r="CX174" s="138">
        <f t="shared" si="129"/>
        <v>31.88180404354588</v>
      </c>
      <c r="CY174" s="138">
        <f t="shared" si="130"/>
        <v>22.486288848263253</v>
      </c>
      <c r="CZ174" s="138">
        <f t="shared" si="131"/>
        <v>24.358974358974358</v>
      </c>
      <c r="DA174" s="5"/>
      <c r="DB174" s="5"/>
      <c r="DC174" s="12"/>
      <c r="DD174" s="5"/>
      <c r="DE174" s="5"/>
      <c r="DF174" s="5"/>
      <c r="DG174" s="5"/>
      <c r="DH174" s="71" t="e">
        <f t="shared" ref="DH174:DP174" si="139">DH154/DH$147*100</f>
        <v>#REF!</v>
      </c>
      <c r="DI174" s="71" t="e">
        <f t="shared" si="139"/>
        <v>#REF!</v>
      </c>
      <c r="DJ174" s="71" t="e">
        <f t="shared" si="139"/>
        <v>#REF!</v>
      </c>
      <c r="DK174" s="71" t="e">
        <f t="shared" si="139"/>
        <v>#REF!</v>
      </c>
      <c r="DL174" s="71" t="e">
        <f t="shared" si="139"/>
        <v>#REF!</v>
      </c>
      <c r="DM174" s="71" t="e">
        <f t="shared" si="139"/>
        <v>#REF!</v>
      </c>
      <c r="DN174" s="71" t="e">
        <f t="shared" si="139"/>
        <v>#REF!</v>
      </c>
      <c r="DO174" s="71" t="e">
        <f t="shared" si="139"/>
        <v>#REF!</v>
      </c>
      <c r="DP174" s="71" t="e">
        <f t="shared" si="139"/>
        <v>#REF!</v>
      </c>
      <c r="DQ174" s="72" t="s">
        <v>230</v>
      </c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11" t="s">
        <v>168</v>
      </c>
      <c r="FF174" s="5"/>
      <c r="FG174" s="5"/>
      <c r="FH174" s="5"/>
      <c r="FI174" s="5"/>
      <c r="FJ174" s="73">
        <v>49</v>
      </c>
      <c r="FK174" s="73">
        <f>0.048*FK171</f>
        <v>27.888000000000002</v>
      </c>
      <c r="FL174" s="73">
        <v>2</v>
      </c>
      <c r="FM174" s="73">
        <f>FJ174-FK174-FL174</f>
        <v>19.111999999999998</v>
      </c>
      <c r="FN174" s="73">
        <f t="shared" si="133"/>
        <v>0.4066382978723404</v>
      </c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8"/>
      <c r="GB174" s="6" t="s">
        <v>290</v>
      </c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</row>
    <row r="175" spans="1:249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71">
        <f t="shared" ref="CH175:CM175" si="140">CH155/CH151*100</f>
        <v>41.666666666666671</v>
      </c>
      <c r="CI175" s="71">
        <f t="shared" si="140"/>
        <v>12.431444241316271</v>
      </c>
      <c r="CJ175" s="71">
        <f t="shared" si="140"/>
        <v>12.908242612752721</v>
      </c>
      <c r="CK175" s="71">
        <f t="shared" si="140"/>
        <v>23.066725585505964</v>
      </c>
      <c r="CL175" s="71">
        <f t="shared" si="140"/>
        <v>20.971718636693257</v>
      </c>
      <c r="CM175" s="71">
        <f t="shared" si="140"/>
        <v>18.790560471976399</v>
      </c>
      <c r="CN175" s="72" t="s">
        <v>177</v>
      </c>
      <c r="CO175" s="71"/>
      <c r="CP175" s="71"/>
      <c r="CQ175" s="11" t="s">
        <v>178</v>
      </c>
      <c r="CR175" s="71"/>
      <c r="CS175" s="5"/>
      <c r="CT175" s="5"/>
      <c r="CU175" s="138">
        <f t="shared" si="126"/>
        <v>18.790560471976399</v>
      </c>
      <c r="CV175" s="138">
        <f t="shared" si="127"/>
        <v>20.971718636693257</v>
      </c>
      <c r="CW175" s="138">
        <f t="shared" si="128"/>
        <v>23.066725585505964</v>
      </c>
      <c r="CX175" s="138">
        <f t="shared" si="129"/>
        <v>12.908242612752721</v>
      </c>
      <c r="CY175" s="138">
        <f t="shared" si="130"/>
        <v>12.431444241316271</v>
      </c>
      <c r="CZ175" s="138">
        <f t="shared" si="131"/>
        <v>41.666666666666671</v>
      </c>
      <c r="DA175" s="5"/>
      <c r="DB175" s="5"/>
      <c r="DC175" s="12"/>
      <c r="DD175" s="5"/>
      <c r="DE175" s="5"/>
      <c r="DF175" s="5"/>
      <c r="DG175" s="5"/>
      <c r="DH175" s="71" t="e">
        <f t="shared" ref="DH175:DP175" si="141">DH155/DH$147*100</f>
        <v>#REF!</v>
      </c>
      <c r="DI175" s="71" t="e">
        <f t="shared" si="141"/>
        <v>#REF!</v>
      </c>
      <c r="DJ175" s="71" t="e">
        <f t="shared" si="141"/>
        <v>#REF!</v>
      </c>
      <c r="DK175" s="71" t="e">
        <f t="shared" si="141"/>
        <v>#REF!</v>
      </c>
      <c r="DL175" s="71" t="e">
        <f t="shared" si="141"/>
        <v>#REF!</v>
      </c>
      <c r="DM175" s="71" t="e">
        <f t="shared" si="141"/>
        <v>#REF!</v>
      </c>
      <c r="DN175" s="71" t="e">
        <f t="shared" si="141"/>
        <v>#REF!</v>
      </c>
      <c r="DO175" s="71" t="e">
        <f t="shared" si="141"/>
        <v>#REF!</v>
      </c>
      <c r="DP175" s="71" t="e">
        <f t="shared" si="141"/>
        <v>#REF!</v>
      </c>
      <c r="DQ175" s="72" t="s">
        <v>216</v>
      </c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19" t="s">
        <v>180</v>
      </c>
      <c r="FF175" s="5"/>
      <c r="FG175" s="5"/>
      <c r="FH175" s="5"/>
      <c r="FI175" s="5"/>
      <c r="FJ175" s="73">
        <v>481</v>
      </c>
      <c r="FK175" s="73">
        <f>0.491*FK171</f>
        <v>285.27100000000002</v>
      </c>
      <c r="FL175" s="73">
        <v>79</v>
      </c>
      <c r="FM175" s="73">
        <f>FJ175-FK175-FL175</f>
        <v>116.72899999999998</v>
      </c>
      <c r="FN175" s="73">
        <f t="shared" si="133"/>
        <v>0.29037064676616914</v>
      </c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</row>
    <row r="176" spans="1:249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71">
        <f t="shared" ref="CH176:CM176" si="142">CH156/CH151*100</f>
        <v>11.538461538461538</v>
      </c>
      <c r="CI176" s="71">
        <f t="shared" si="142"/>
        <v>2.7422303473491771</v>
      </c>
      <c r="CJ176" s="71">
        <f t="shared" si="142"/>
        <v>9.7589424572317256</v>
      </c>
      <c r="CK176" s="71">
        <f t="shared" si="142"/>
        <v>15.554573574900573</v>
      </c>
      <c r="CL176" s="71">
        <f t="shared" si="142"/>
        <v>14.474256707759245</v>
      </c>
      <c r="CM176" s="71">
        <f t="shared" si="142"/>
        <v>12.605703048180924</v>
      </c>
      <c r="CN176" s="72" t="s">
        <v>149</v>
      </c>
      <c r="CO176" s="71"/>
      <c r="CP176" s="71"/>
      <c r="CQ176" s="11" t="s">
        <v>150</v>
      </c>
      <c r="CR176" s="71"/>
      <c r="CS176" s="5"/>
      <c r="CT176" s="5"/>
      <c r="CU176" s="138">
        <f t="shared" si="126"/>
        <v>12.605703048180924</v>
      </c>
      <c r="CV176" s="138">
        <f t="shared" si="127"/>
        <v>14.474256707759245</v>
      </c>
      <c r="CW176" s="138">
        <f t="shared" si="128"/>
        <v>15.554573574900573</v>
      </c>
      <c r="CX176" s="138">
        <f t="shared" si="129"/>
        <v>9.7589424572317256</v>
      </c>
      <c r="CY176" s="138">
        <f t="shared" si="130"/>
        <v>2.7422303473491771</v>
      </c>
      <c r="CZ176" s="138">
        <f t="shared" si="131"/>
        <v>11.538461538461538</v>
      </c>
      <c r="DA176" s="5"/>
      <c r="DB176" s="5"/>
      <c r="DC176" s="12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11" t="s">
        <v>212</v>
      </c>
      <c r="FF176" s="5"/>
      <c r="FG176" s="5"/>
      <c r="FH176" s="5"/>
      <c r="FI176" s="5"/>
      <c r="FJ176" s="73">
        <v>56</v>
      </c>
      <c r="FK176" s="5"/>
      <c r="FL176" s="5"/>
      <c r="FM176" s="5"/>
      <c r="FN176" s="73">
        <f t="shared" si="133"/>
        <v>0</v>
      </c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</row>
    <row r="177" spans="1:249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71">
        <f t="shared" ref="CH177:CM177" si="143">CH157/CH151*100</f>
        <v>6.4102564102564097</v>
      </c>
      <c r="CI177" s="71">
        <f t="shared" si="143"/>
        <v>7.1297989031078606</v>
      </c>
      <c r="CJ177" s="71">
        <f t="shared" si="143"/>
        <v>13.21928460342146</v>
      </c>
      <c r="CK177" s="71">
        <f t="shared" si="143"/>
        <v>14.626601855943438</v>
      </c>
      <c r="CL177" s="71">
        <f t="shared" si="143"/>
        <v>12.124728063814358</v>
      </c>
      <c r="CM177" s="71">
        <f t="shared" si="143"/>
        <v>12.045231071779744</v>
      </c>
      <c r="CN177" s="72" t="s">
        <v>183</v>
      </c>
      <c r="CO177" s="71"/>
      <c r="CP177" s="71"/>
      <c r="CQ177" s="11" t="s">
        <v>184</v>
      </c>
      <c r="CR177" s="71"/>
      <c r="CS177" s="5"/>
      <c r="CT177" s="5"/>
      <c r="CU177" s="138">
        <f t="shared" si="126"/>
        <v>12.045231071779744</v>
      </c>
      <c r="CV177" s="138">
        <f t="shared" si="127"/>
        <v>12.124728063814358</v>
      </c>
      <c r="CW177" s="138">
        <f t="shared" si="128"/>
        <v>14.626601855943438</v>
      </c>
      <c r="CX177" s="138">
        <f t="shared" si="129"/>
        <v>13.21928460342146</v>
      </c>
      <c r="CY177" s="138">
        <f t="shared" si="130"/>
        <v>7.1297989031078606</v>
      </c>
      <c r="CZ177" s="138">
        <f t="shared" si="131"/>
        <v>6.4102564102564097</v>
      </c>
      <c r="DA177" s="5"/>
      <c r="DB177" s="5"/>
      <c r="DC177" s="12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11" t="s">
        <v>214</v>
      </c>
      <c r="FF177" s="5"/>
      <c r="FG177" s="5"/>
      <c r="FH177" s="5"/>
      <c r="FI177" s="5"/>
      <c r="FJ177" s="73">
        <v>155</v>
      </c>
      <c r="FK177" s="5"/>
      <c r="FL177" s="5"/>
      <c r="FM177" s="5"/>
      <c r="FN177" s="73">
        <f t="shared" si="133"/>
        <v>0</v>
      </c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</row>
    <row r="178" spans="1:249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72" t="s">
        <v>124</v>
      </c>
      <c r="CI178" s="71">
        <f>CI158/CI151*100</f>
        <v>10.054844606946983</v>
      </c>
      <c r="CJ178" s="71">
        <f>CJ158/CJ151*100</f>
        <v>0.81648522550544322</v>
      </c>
      <c r="CK178" s="72" t="s">
        <v>124</v>
      </c>
      <c r="CL178" s="72" t="s">
        <v>124</v>
      </c>
      <c r="CM178" s="71">
        <f>CM158/CM151*100</f>
        <v>0.74729596853490665</v>
      </c>
      <c r="CN178" s="72" t="s">
        <v>187</v>
      </c>
      <c r="CO178" s="71"/>
      <c r="CP178" s="71"/>
      <c r="CQ178" s="11" t="s">
        <v>188</v>
      </c>
      <c r="CR178" s="71"/>
      <c r="CS178" s="5"/>
      <c r="CT178" s="5"/>
      <c r="CU178" s="138">
        <f t="shared" si="126"/>
        <v>0.74729596853490665</v>
      </c>
      <c r="CV178" s="138" t="str">
        <f t="shared" si="127"/>
        <v>-</v>
      </c>
      <c r="CW178" s="138" t="str">
        <f t="shared" si="128"/>
        <v>-</v>
      </c>
      <c r="CX178" s="138">
        <f t="shared" si="129"/>
        <v>0.81648522550544322</v>
      </c>
      <c r="CY178" s="138">
        <f t="shared" si="130"/>
        <v>10.054844606946983</v>
      </c>
      <c r="CZ178" s="138" t="str">
        <f t="shared" si="131"/>
        <v>-</v>
      </c>
      <c r="DA178" s="5"/>
      <c r="DB178" s="5"/>
      <c r="DC178" s="12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11" t="s">
        <v>215</v>
      </c>
      <c r="FF178" s="5"/>
      <c r="FG178" s="5"/>
      <c r="FH178" s="5"/>
      <c r="FI178" s="5"/>
      <c r="FJ178" s="73">
        <v>270</v>
      </c>
      <c r="FK178" s="5"/>
      <c r="FL178" s="5"/>
      <c r="FM178" s="5"/>
      <c r="FN178" s="73">
        <f t="shared" si="133"/>
        <v>0</v>
      </c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</row>
    <row r="179" spans="1:249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12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11" t="s">
        <v>181</v>
      </c>
      <c r="FF179" s="5"/>
      <c r="FG179" s="5"/>
      <c r="FH179" s="5"/>
      <c r="FI179" s="5"/>
      <c r="FJ179" s="73">
        <v>41</v>
      </c>
      <c r="FK179" s="73">
        <f>0.048*FK171</f>
        <v>27.888000000000002</v>
      </c>
      <c r="FL179" s="73">
        <v>2</v>
      </c>
      <c r="FM179" s="73">
        <f>FJ179-FK179-FL179</f>
        <v>11.111999999999998</v>
      </c>
      <c r="FN179" s="73">
        <f t="shared" si="133"/>
        <v>0.28492307692307689</v>
      </c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</row>
    <row r="180" spans="1:249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6" t="s">
        <v>231</v>
      </c>
      <c r="CI180" s="5"/>
      <c r="CJ180" s="5"/>
      <c r="CK180" s="5"/>
      <c r="CL180" s="5"/>
      <c r="CM180" s="5"/>
      <c r="CN180" s="5"/>
      <c r="CO180" s="5"/>
      <c r="CP180" s="5"/>
      <c r="CQ180" s="6" t="s">
        <v>221</v>
      </c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12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11" t="s">
        <v>208</v>
      </c>
      <c r="FF180" s="5"/>
      <c r="FG180" s="5"/>
      <c r="FH180" s="5"/>
      <c r="FI180" s="5"/>
      <c r="FJ180" s="73">
        <v>105</v>
      </c>
      <c r="FK180" s="73">
        <f>0.121*FK171</f>
        <v>70.301000000000002</v>
      </c>
      <c r="FL180" s="73">
        <v>8</v>
      </c>
      <c r="FM180" s="73">
        <f>FJ180-FK180-FL180</f>
        <v>26.698999999999998</v>
      </c>
      <c r="FN180" s="73">
        <f t="shared" si="133"/>
        <v>0.27524742268041236</v>
      </c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6" t="s">
        <v>225</v>
      </c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</row>
    <row r="181" spans="1:249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6" t="s">
        <v>219</v>
      </c>
      <c r="CI181" s="5"/>
      <c r="CJ181" s="5"/>
      <c r="CK181" s="5"/>
      <c r="CL181" s="5"/>
      <c r="CM181" s="5"/>
      <c r="CN181" s="5"/>
      <c r="CO181" s="5"/>
      <c r="CP181" s="5"/>
      <c r="CQ181" s="6" t="s">
        <v>222</v>
      </c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12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8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13" t="s">
        <v>14</v>
      </c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</row>
    <row r="182" spans="1:249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12"/>
      <c r="DD182" s="5"/>
      <c r="DE182" s="5"/>
      <c r="DF182" s="5"/>
      <c r="DG182" s="5"/>
      <c r="DH182" s="5"/>
      <c r="DI182" s="5"/>
      <c r="DJ182" s="6" t="s">
        <v>267</v>
      </c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6" t="s">
        <v>35</v>
      </c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6" t="s">
        <v>13</v>
      </c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</row>
    <row r="183" spans="1:249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12"/>
      <c r="DD183" s="5"/>
      <c r="DE183" s="5"/>
      <c r="DF183" s="5"/>
      <c r="DG183" s="5"/>
      <c r="DH183" s="5"/>
      <c r="DI183" s="5"/>
      <c r="DJ183" s="6" t="s">
        <v>271</v>
      </c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FE183" s="8"/>
      <c r="FR183" s="5"/>
      <c r="FS183" s="5"/>
      <c r="FT183" s="5"/>
      <c r="FU183" s="5"/>
      <c r="FV183" s="5"/>
      <c r="FW183" s="5"/>
      <c r="FX183" s="6" t="s">
        <v>15</v>
      </c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6" t="s">
        <v>227</v>
      </c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</row>
    <row r="184" spans="1:249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12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FE184" s="8"/>
      <c r="FR184" s="5"/>
      <c r="FS184" s="5"/>
      <c r="FT184" s="5"/>
      <c r="FU184" s="5"/>
      <c r="FV184" s="5"/>
      <c r="FW184" s="5"/>
      <c r="FX184" s="5"/>
      <c r="FY184" s="6" t="s">
        <v>30</v>
      </c>
      <c r="FZ184" s="6" t="s">
        <v>31</v>
      </c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6" t="s">
        <v>116</v>
      </c>
      <c r="GO184" s="5"/>
      <c r="GP184" s="5"/>
      <c r="GQ184" s="17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</row>
    <row r="185" spans="1:249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12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19" t="s">
        <v>85</v>
      </c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FE185" s="8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6" t="s">
        <v>16</v>
      </c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</row>
    <row r="186" spans="1:249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12"/>
      <c r="DD186" s="5"/>
      <c r="DE186" s="5"/>
      <c r="DF186" s="5"/>
      <c r="DG186" s="5"/>
      <c r="DH186" s="6" t="s">
        <v>37</v>
      </c>
      <c r="DI186" s="6" t="s">
        <v>161</v>
      </c>
      <c r="DJ186" s="6" t="s">
        <v>39</v>
      </c>
      <c r="DK186" s="19" t="s">
        <v>7</v>
      </c>
      <c r="DL186" s="19" t="s">
        <v>40</v>
      </c>
      <c r="DM186" s="19" t="s">
        <v>41</v>
      </c>
      <c r="DN186" s="19" t="s">
        <v>42</v>
      </c>
      <c r="DO186" s="19" t="s">
        <v>43</v>
      </c>
      <c r="DP186" s="19" t="s">
        <v>44</v>
      </c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FE186" s="8"/>
      <c r="FR186" s="5"/>
      <c r="FS186" s="5"/>
      <c r="FT186" s="5"/>
      <c r="FU186" s="5"/>
      <c r="FV186" s="5"/>
      <c r="FW186" s="6" t="s">
        <v>31</v>
      </c>
      <c r="FX186" s="6" t="s">
        <v>31</v>
      </c>
      <c r="FY186" s="6" t="s">
        <v>32</v>
      </c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17"/>
      <c r="GN186" s="13" t="s">
        <v>22</v>
      </c>
      <c r="GO186" s="17"/>
      <c r="GP186" s="17"/>
      <c r="GQ186" s="17"/>
      <c r="GR186" s="17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</row>
    <row r="187" spans="1:249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12"/>
      <c r="DD187" s="5"/>
      <c r="DE187" s="5"/>
      <c r="DF187" s="5"/>
      <c r="DG187" s="5"/>
      <c r="DH187" s="19" t="e">
        <f t="shared" ref="DH187:DP187" si="144">SUM(DH188:DH195)</f>
        <v>#REF!</v>
      </c>
      <c r="DI187" s="19" t="e">
        <f t="shared" si="144"/>
        <v>#REF!</v>
      </c>
      <c r="DJ187" s="19" t="e">
        <f t="shared" si="144"/>
        <v>#REF!</v>
      </c>
      <c r="DK187" s="19" t="e">
        <f t="shared" si="144"/>
        <v>#REF!</v>
      </c>
      <c r="DL187" s="19" t="e">
        <f t="shared" si="144"/>
        <v>#REF!</v>
      </c>
      <c r="DM187" s="19" t="e">
        <f t="shared" si="144"/>
        <v>#REF!</v>
      </c>
      <c r="DN187" s="19" t="e">
        <f t="shared" si="144"/>
        <v>#REF!</v>
      </c>
      <c r="DO187" s="19" t="e">
        <f t="shared" si="144"/>
        <v>#REF!</v>
      </c>
      <c r="DP187" s="19" t="e">
        <f t="shared" si="144"/>
        <v>#REF!</v>
      </c>
      <c r="DQ187" s="6" t="s">
        <v>72</v>
      </c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FE187" s="8"/>
      <c r="FR187" s="5"/>
      <c r="FS187" s="5"/>
      <c r="FT187" s="5"/>
      <c r="FU187" s="5"/>
      <c r="FV187" s="6" t="s">
        <v>84</v>
      </c>
      <c r="FW187" s="6" t="s">
        <v>95</v>
      </c>
      <c r="FX187" s="6" t="s">
        <v>96</v>
      </c>
      <c r="FY187" s="6" t="s">
        <v>97</v>
      </c>
      <c r="FZ187" s="6" t="s">
        <v>72</v>
      </c>
      <c r="GA187" s="6" t="s">
        <v>64</v>
      </c>
      <c r="GB187" s="6" t="s">
        <v>48</v>
      </c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13" t="s">
        <v>60</v>
      </c>
      <c r="GN187" s="17"/>
      <c r="GO187" s="13" t="s">
        <v>33</v>
      </c>
      <c r="GP187" s="13" t="s">
        <v>62</v>
      </c>
      <c r="GQ187" s="17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</row>
    <row r="188" spans="1:249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12"/>
      <c r="DD188" s="5"/>
      <c r="DE188" s="5"/>
      <c r="DF188" s="5"/>
      <c r="DG188" s="5"/>
      <c r="DH188" s="19" t="e">
        <f>#REF!-DH189-5</f>
        <v>#REF!</v>
      </c>
      <c r="DI188" s="19" t="e">
        <f>#REF!-DI189-5</f>
        <v>#REF!</v>
      </c>
      <c r="DJ188" s="19" t="e">
        <f>#REF!-DJ189-4</f>
        <v>#REF!</v>
      </c>
      <c r="DK188" s="19" t="e">
        <f>#REF!-DK189-1</f>
        <v>#REF!</v>
      </c>
      <c r="DL188" s="19" t="e">
        <f>#REF!-DL189-2</f>
        <v>#REF!</v>
      </c>
      <c r="DM188" s="19" t="e">
        <f>#REF!-DM189-2</f>
        <v>#REF!</v>
      </c>
      <c r="DN188" s="19" t="e">
        <f>#REF!-DN189-5</f>
        <v>#REF!</v>
      </c>
      <c r="DO188" s="19" t="e">
        <f>#REF!-DO189-5</f>
        <v>#REF!</v>
      </c>
      <c r="DP188" s="19" t="e">
        <f>#REF!-DP189-7</f>
        <v>#REF!</v>
      </c>
      <c r="DQ188" s="11" t="s">
        <v>226</v>
      </c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6" t="s">
        <v>74</v>
      </c>
      <c r="GI188" s="5"/>
      <c r="GJ188" s="5"/>
      <c r="GK188" s="5"/>
      <c r="GL188" s="5"/>
      <c r="GM188" s="13" t="s">
        <v>88</v>
      </c>
      <c r="GN188" s="13" t="s">
        <v>75</v>
      </c>
      <c r="GO188" s="13" t="s">
        <v>98</v>
      </c>
      <c r="GP188" s="13" t="s">
        <v>90</v>
      </c>
      <c r="GQ188" s="13" t="s">
        <v>91</v>
      </c>
      <c r="GR188" s="13" t="s">
        <v>92</v>
      </c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</row>
    <row r="189" spans="1:249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12"/>
      <c r="DD189" s="5"/>
      <c r="DE189" s="5"/>
      <c r="DF189" s="5"/>
      <c r="DG189" s="5"/>
      <c r="DH189" s="19">
        <f>DG48-6</f>
        <v>228</v>
      </c>
      <c r="DI189" s="19">
        <f>DH48-4</f>
        <v>222</v>
      </c>
      <c r="DJ189" s="19">
        <f>DI48-4</f>
        <v>224</v>
      </c>
      <c r="DK189" s="19">
        <f>DJ48-1</f>
        <v>238</v>
      </c>
      <c r="DL189" s="19">
        <f>DK48-2</f>
        <v>192</v>
      </c>
      <c r="DM189" s="19">
        <f>DL48-2</f>
        <v>173</v>
      </c>
      <c r="DN189" s="19">
        <f>DM48-5</f>
        <v>145</v>
      </c>
      <c r="DO189" s="19">
        <f>DN48-5</f>
        <v>142</v>
      </c>
      <c r="DP189" s="19">
        <f>DO48-7</f>
        <v>140</v>
      </c>
      <c r="DQ189" s="11" t="s">
        <v>155</v>
      </c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FE189" s="8"/>
      <c r="FR189" s="5"/>
      <c r="FS189" s="5"/>
      <c r="FT189" s="5"/>
      <c r="FU189" s="5"/>
      <c r="FV189" s="34" t="e">
        <f>#REF!</f>
        <v>#REF!</v>
      </c>
      <c r="FW189" s="34" t="e">
        <f>#REF!</f>
        <v>#REF!</v>
      </c>
      <c r="FX189" s="34" t="e">
        <f>#REF!</f>
        <v>#REF!</v>
      </c>
      <c r="FY189" s="34">
        <f>FY191+FY199+FY204+FY206+FY211+FY217+FY219</f>
        <v>22630</v>
      </c>
      <c r="FZ189" s="34" t="e">
        <f>#REF!</f>
        <v>#REF!</v>
      </c>
      <c r="GA189" s="34" t="e">
        <f>DE$9</f>
        <v>#REF!</v>
      </c>
      <c r="GB189" s="6" t="s">
        <v>64</v>
      </c>
      <c r="GC189" s="8"/>
      <c r="GD189" s="8"/>
      <c r="GE189" s="8"/>
      <c r="GF189" s="8"/>
      <c r="GG189" s="8"/>
      <c r="GH189" s="11" t="s">
        <v>101</v>
      </c>
      <c r="GI189" s="8"/>
      <c r="GJ189" s="8"/>
      <c r="GK189" s="8"/>
      <c r="GL189" s="8"/>
      <c r="GM189" s="34" t="e">
        <f>GA189</f>
        <v>#REF!</v>
      </c>
      <c r="GN189" s="34" t="e">
        <f>FZ189</f>
        <v>#REF!</v>
      </c>
      <c r="GO189" s="34">
        <f>FY189</f>
        <v>22630</v>
      </c>
      <c r="GP189" s="34" t="e">
        <f>FX189</f>
        <v>#REF!</v>
      </c>
      <c r="GQ189" s="34" t="e">
        <f>FW189</f>
        <v>#REF!</v>
      </c>
      <c r="GR189" s="34" t="e">
        <f>FV189</f>
        <v>#REF!</v>
      </c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</row>
    <row r="190" spans="1:249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12"/>
      <c r="DD190" s="5"/>
      <c r="DE190" s="5"/>
      <c r="DF190" s="5"/>
      <c r="DG190" s="5"/>
      <c r="DH190" s="19">
        <f t="shared" ref="DH190:DP190" si="145">DG52</f>
        <v>548</v>
      </c>
      <c r="DI190" s="19">
        <f t="shared" si="145"/>
        <v>521</v>
      </c>
      <c r="DJ190" s="19">
        <f t="shared" si="145"/>
        <v>520</v>
      </c>
      <c r="DK190" s="19">
        <f t="shared" si="145"/>
        <v>477</v>
      </c>
      <c r="DL190" s="19">
        <f t="shared" si="145"/>
        <v>429</v>
      </c>
      <c r="DM190" s="19">
        <f t="shared" si="145"/>
        <v>419</v>
      </c>
      <c r="DN190" s="19">
        <f t="shared" si="145"/>
        <v>400</v>
      </c>
      <c r="DO190" s="19">
        <f t="shared" si="145"/>
        <v>345</v>
      </c>
      <c r="DP190" s="19">
        <f t="shared" si="145"/>
        <v>341</v>
      </c>
      <c r="DQ190" s="11" t="s">
        <v>166</v>
      </c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FE190" s="8"/>
      <c r="FR190" s="5"/>
      <c r="FS190" s="5"/>
      <c r="FT190" s="5"/>
      <c r="FU190" s="5"/>
      <c r="FV190" s="34"/>
      <c r="FW190" s="34"/>
      <c r="FX190" s="34"/>
      <c r="FY190" s="34"/>
      <c r="FZ190" s="34"/>
      <c r="GA190" s="34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34"/>
      <c r="GN190" s="34"/>
      <c r="GO190" s="34"/>
      <c r="GP190" s="34"/>
      <c r="GQ190" s="34"/>
      <c r="GR190" s="34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</row>
    <row r="191" spans="1:249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12"/>
      <c r="DD191" s="5"/>
      <c r="DE191" s="5"/>
      <c r="DF191" s="5"/>
      <c r="DG191" s="5"/>
      <c r="DH191" s="19">
        <f t="shared" ref="DH191:DP191" si="146">DG58</f>
        <v>51</v>
      </c>
      <c r="DI191" s="19">
        <f t="shared" si="146"/>
        <v>49</v>
      </c>
      <c r="DJ191" s="19">
        <f t="shared" si="146"/>
        <v>40</v>
      </c>
      <c r="DK191" s="19">
        <f t="shared" si="146"/>
        <v>40</v>
      </c>
      <c r="DL191" s="19">
        <f t="shared" si="146"/>
        <v>34</v>
      </c>
      <c r="DM191" s="19">
        <f t="shared" si="146"/>
        <v>37</v>
      </c>
      <c r="DN191" s="19">
        <f t="shared" si="146"/>
        <v>39</v>
      </c>
      <c r="DO191" s="19">
        <f t="shared" si="146"/>
        <v>36</v>
      </c>
      <c r="DP191" s="19">
        <f t="shared" si="146"/>
        <v>45</v>
      </c>
      <c r="DQ191" s="11" t="s">
        <v>172</v>
      </c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FE191" s="8"/>
      <c r="FR191" s="5"/>
      <c r="FS191" s="5"/>
      <c r="FT191" s="5"/>
      <c r="FU191" s="5"/>
      <c r="FV191" s="34" t="e">
        <f>#REF!</f>
        <v>#REF!</v>
      </c>
      <c r="FW191" s="34" t="e">
        <f>#REF!</f>
        <v>#REF!</v>
      </c>
      <c r="FX191" s="34" t="e">
        <f>#REF!</f>
        <v>#REF!</v>
      </c>
      <c r="FY191" s="34">
        <f>SUM(FY193:FY197)</f>
        <v>7236</v>
      </c>
      <c r="FZ191" s="34" t="e">
        <f>#REF!</f>
        <v>#REF!</v>
      </c>
      <c r="GA191" s="34">
        <f>DE$11</f>
        <v>0</v>
      </c>
      <c r="GB191" s="11" t="s">
        <v>130</v>
      </c>
      <c r="GC191" s="8"/>
      <c r="GD191" s="8"/>
      <c r="GE191" s="8"/>
      <c r="GF191" s="8"/>
      <c r="GG191" s="8"/>
      <c r="GH191" s="11" t="s">
        <v>139</v>
      </c>
      <c r="GI191" s="8"/>
      <c r="GJ191" s="8"/>
      <c r="GK191" s="8"/>
      <c r="GL191" s="8"/>
      <c r="GM191" s="34">
        <f>GA191</f>
        <v>0</v>
      </c>
      <c r="GN191" s="34" t="e">
        <f>FZ191</f>
        <v>#REF!</v>
      </c>
      <c r="GO191" s="34">
        <f>FY191</f>
        <v>7236</v>
      </c>
      <c r="GP191" s="34" t="e">
        <f>FX191</f>
        <v>#REF!</v>
      </c>
      <c r="GQ191" s="34" t="e">
        <f>FW191</f>
        <v>#REF!</v>
      </c>
      <c r="GR191" s="34" t="e">
        <f>FV191</f>
        <v>#REF!</v>
      </c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</row>
    <row r="192" spans="1:249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12"/>
      <c r="DD192" s="5"/>
      <c r="DE192" s="5"/>
      <c r="DF192" s="5"/>
      <c r="DG192" s="5"/>
      <c r="DH192" s="19" t="e">
        <f>#REF!-47</f>
        <v>#REF!</v>
      </c>
      <c r="DI192" s="19" t="e">
        <f>#REF!-47</f>
        <v>#REF!</v>
      </c>
      <c r="DJ192" s="19" t="e">
        <f>#REF!-50</f>
        <v>#REF!</v>
      </c>
      <c r="DK192" s="19" t="e">
        <f>#REF!-57</f>
        <v>#REF!</v>
      </c>
      <c r="DL192" s="19" t="e">
        <f>#REF!-51</f>
        <v>#REF!</v>
      </c>
      <c r="DM192" s="19" t="e">
        <f>#REF!-21</f>
        <v>#REF!</v>
      </c>
      <c r="DN192" s="19" t="e">
        <f>#REF!-46</f>
        <v>#REF!</v>
      </c>
      <c r="DO192" s="19" t="e">
        <f>#REF!-39</f>
        <v>#REF!</v>
      </c>
      <c r="DP192" s="19" t="e">
        <f>#REF!-32</f>
        <v>#REF!</v>
      </c>
      <c r="DQ192" s="11" t="s">
        <v>210</v>
      </c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FE192" s="8"/>
      <c r="FR192" s="5"/>
      <c r="FS192" s="5"/>
      <c r="FT192" s="5"/>
      <c r="FU192" s="5"/>
      <c r="FV192" s="34"/>
      <c r="FW192" s="34"/>
      <c r="FX192" s="34"/>
      <c r="FY192" s="34"/>
      <c r="FZ192" s="34"/>
      <c r="GA192" s="34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34"/>
      <c r="GN192" s="34"/>
      <c r="GO192" s="34"/>
      <c r="GP192" s="34"/>
      <c r="GQ192" s="34"/>
      <c r="GR192" s="34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</row>
    <row r="193" spans="1:249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12"/>
      <c r="DD193" s="5"/>
      <c r="DE193" s="5"/>
      <c r="DF193" s="5"/>
      <c r="DG193" s="5"/>
      <c r="DH193" s="19" t="e">
        <f>#REF!-194</f>
        <v>#REF!</v>
      </c>
      <c r="DI193" s="19" t="e">
        <f>#REF!-183</f>
        <v>#REF!</v>
      </c>
      <c r="DJ193" s="19" t="e">
        <f>#REF!-152</f>
        <v>#REF!</v>
      </c>
      <c r="DK193" s="19" t="e">
        <f>#REF!-135</f>
        <v>#REF!</v>
      </c>
      <c r="DL193" s="19" t="e">
        <f>#REF!-131</f>
        <v>#REF!</v>
      </c>
      <c r="DM193" s="19" t="e">
        <f>#REF!-121</f>
        <v>#REF!</v>
      </c>
      <c r="DN193" s="19" t="e">
        <f>#REF!-121</f>
        <v>#REF!</v>
      </c>
      <c r="DO193" s="19" t="e">
        <f>#REF!-114</f>
        <v>#REF!</v>
      </c>
      <c r="DP193" s="19" t="e">
        <f>#REF!-103</f>
        <v>#REF!</v>
      </c>
      <c r="DQ193" s="11" t="s">
        <v>211</v>
      </c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W193" s="5"/>
      <c r="EX193" s="5"/>
      <c r="EY193" s="6" t="s">
        <v>291</v>
      </c>
      <c r="EZ193" s="5"/>
      <c r="FA193" s="5"/>
      <c r="FB193" s="5"/>
      <c r="FC193" s="5"/>
      <c r="FR193" s="5"/>
      <c r="FS193" s="5"/>
      <c r="FT193" s="5"/>
      <c r="FU193" s="5"/>
      <c r="FV193" s="34" t="e">
        <f>#REF!</f>
        <v>#REF!</v>
      </c>
      <c r="FW193" s="34">
        <f>DE$47</f>
        <v>690</v>
      </c>
      <c r="FX193" s="34" t="e">
        <f>#REF!</f>
        <v>#REF!</v>
      </c>
      <c r="FY193" s="34">
        <v>4266</v>
      </c>
      <c r="FZ193" s="34" t="e">
        <f>#REF!</f>
        <v>#REF!</v>
      </c>
      <c r="GA193" s="34">
        <f>DE$13</f>
        <v>0</v>
      </c>
      <c r="GB193" s="11" t="s">
        <v>146</v>
      </c>
      <c r="GC193" s="8"/>
      <c r="GD193" s="8"/>
      <c r="GE193" s="8"/>
      <c r="GF193" s="8"/>
      <c r="GG193" s="8"/>
      <c r="GH193" s="11" t="s">
        <v>232</v>
      </c>
      <c r="GI193" s="8"/>
      <c r="GJ193" s="8"/>
      <c r="GK193" s="8"/>
      <c r="GL193" s="8"/>
      <c r="GM193" s="34">
        <f>GA193</f>
        <v>0</v>
      </c>
      <c r="GN193" s="34" t="e">
        <f>FZ193</f>
        <v>#REF!</v>
      </c>
      <c r="GO193" s="34">
        <f>FY193</f>
        <v>4266</v>
      </c>
      <c r="GP193" s="34" t="e">
        <f>FX193</f>
        <v>#REF!</v>
      </c>
      <c r="GQ193" s="34">
        <f>FW193</f>
        <v>690</v>
      </c>
      <c r="GR193" s="34" t="e">
        <f>FV193</f>
        <v>#REF!</v>
      </c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</row>
    <row r="194" spans="1:249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12"/>
      <c r="DD194" s="5"/>
      <c r="DE194" s="5"/>
      <c r="DF194" s="5"/>
      <c r="DG194" s="5"/>
      <c r="DH194" s="73" t="e">
        <f>#REF!+#REF!+DG60-273</f>
        <v>#REF!</v>
      </c>
      <c r="DI194" s="73" t="e">
        <f>#REF!+#REF!+DH60-275</f>
        <v>#REF!</v>
      </c>
      <c r="DJ194" s="73" t="e">
        <f>#REF!+#REF!+DI60-275</f>
        <v>#REF!</v>
      </c>
      <c r="DK194" s="73" t="e">
        <f>#REF!+#REF!+DJ60-258</f>
        <v>#REF!</v>
      </c>
      <c r="DL194" s="73" t="e">
        <f>#REF!+#REF!+DK60-277</f>
        <v>#REF!</v>
      </c>
      <c r="DM194" s="73" t="e">
        <f>#REF!+#REF!+DL60-270</f>
        <v>#REF!</v>
      </c>
      <c r="DN194" s="73" t="e">
        <f>#REF!+#REF!+DM60-244</f>
        <v>#REF!</v>
      </c>
      <c r="DO194" s="73" t="e">
        <f>#REF!+#REF!+DN60-213</f>
        <v>#REF!</v>
      </c>
      <c r="DP194" s="73" t="e">
        <f>#REF!+#REF!+DO60-196</f>
        <v>#REF!</v>
      </c>
      <c r="DQ194" s="11" t="s">
        <v>230</v>
      </c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W194" s="5"/>
      <c r="EX194" s="5"/>
      <c r="EY194" s="5"/>
      <c r="EZ194" s="6" t="s">
        <v>292</v>
      </c>
      <c r="FA194" s="5"/>
      <c r="FB194" s="5"/>
      <c r="FC194" s="5"/>
      <c r="FE194" s="8"/>
      <c r="FR194" s="5"/>
      <c r="FS194" s="5"/>
      <c r="FT194" s="5"/>
      <c r="FU194" s="5"/>
      <c r="FV194" s="34" t="e">
        <f>#REF!</f>
        <v>#REF!</v>
      </c>
      <c r="FW194" s="34" t="e">
        <f>#REF!</f>
        <v>#REF!</v>
      </c>
      <c r="FX194" s="34" t="e">
        <f>#REF!</f>
        <v>#REF!</v>
      </c>
      <c r="FY194" s="34">
        <v>1402</v>
      </c>
      <c r="FZ194" s="34" t="e">
        <f>#REF!</f>
        <v>#REF!</v>
      </c>
      <c r="GA194" s="34" t="e">
        <f>#REF!</f>
        <v>#REF!</v>
      </c>
      <c r="GB194" s="11" t="s">
        <v>157</v>
      </c>
      <c r="GC194" s="8"/>
      <c r="GD194" s="8"/>
      <c r="GE194" s="8"/>
      <c r="GF194" s="8"/>
      <c r="GG194" s="8"/>
      <c r="GH194" s="11" t="s">
        <v>233</v>
      </c>
      <c r="GI194" s="8"/>
      <c r="GJ194" s="8"/>
      <c r="GK194" s="8"/>
      <c r="GL194" s="8"/>
      <c r="GM194" s="34" t="e">
        <f>GA194</f>
        <v>#REF!</v>
      </c>
      <c r="GN194" s="34" t="e">
        <f>FZ194</f>
        <v>#REF!</v>
      </c>
      <c r="GO194" s="34">
        <f>FY194</f>
        <v>1402</v>
      </c>
      <c r="GP194" s="34" t="e">
        <f>FX194</f>
        <v>#REF!</v>
      </c>
      <c r="GQ194" s="34" t="e">
        <f>FW194</f>
        <v>#REF!</v>
      </c>
      <c r="GR194" s="34" t="e">
        <f>FV194</f>
        <v>#REF!</v>
      </c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</row>
    <row r="195" spans="1:249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12"/>
      <c r="DD195" s="5"/>
      <c r="DE195" s="5"/>
      <c r="DF195" s="5"/>
      <c r="DG195" s="5"/>
      <c r="DH195" s="73" t="e">
        <f>#REF!</f>
        <v>#REF!</v>
      </c>
      <c r="DI195" s="73" t="e">
        <f>#REF!</f>
        <v>#REF!</v>
      </c>
      <c r="DJ195" s="73" t="e">
        <f>#REF!</f>
        <v>#REF!</v>
      </c>
      <c r="DK195" s="73" t="e">
        <f>#REF!</f>
        <v>#REF!</v>
      </c>
      <c r="DL195" s="73" t="e">
        <f>#REF!</f>
        <v>#REF!</v>
      </c>
      <c r="DM195" s="73" t="e">
        <f>#REF!</f>
        <v>#REF!</v>
      </c>
      <c r="DN195" s="73" t="e">
        <f>#REF!</f>
        <v>#REF!</v>
      </c>
      <c r="DO195" s="73" t="e">
        <f>#REF!</f>
        <v>#REF!</v>
      </c>
      <c r="DP195" s="73" t="e">
        <f>#REF!</f>
        <v>#REF!</v>
      </c>
      <c r="DQ195" s="11" t="s">
        <v>216</v>
      </c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W195" s="5"/>
      <c r="EX195" s="5"/>
      <c r="EY195" s="5"/>
      <c r="EZ195" s="5"/>
      <c r="FA195" s="5"/>
      <c r="FB195" s="5"/>
      <c r="FC195" s="5"/>
      <c r="FR195" s="5"/>
      <c r="FS195" s="5"/>
      <c r="FT195" s="5"/>
      <c r="FU195" s="5"/>
      <c r="FV195" s="34" t="e">
        <f>#REF!</f>
        <v>#REF!</v>
      </c>
      <c r="FW195" s="34">
        <f>DE$48</f>
        <v>308</v>
      </c>
      <c r="FX195" s="34" t="e">
        <f>#REF!</f>
        <v>#REF!</v>
      </c>
      <c r="FY195" s="34">
        <v>895</v>
      </c>
      <c r="FZ195" s="34" t="e">
        <f>#REF!</f>
        <v>#REF!</v>
      </c>
      <c r="GA195" s="34" t="e">
        <f>#REF!</f>
        <v>#REF!</v>
      </c>
      <c r="GB195" s="11" t="s">
        <v>155</v>
      </c>
      <c r="GC195" s="8"/>
      <c r="GD195" s="8"/>
      <c r="GE195" s="8"/>
      <c r="GF195" s="8"/>
      <c r="GG195" s="8"/>
      <c r="GH195" s="11" t="s">
        <v>156</v>
      </c>
      <c r="GI195" s="8"/>
      <c r="GJ195" s="8"/>
      <c r="GK195" s="8"/>
      <c r="GL195" s="8"/>
      <c r="GM195" s="34" t="e">
        <f>GA195</f>
        <v>#REF!</v>
      </c>
      <c r="GN195" s="34" t="e">
        <f>FZ195</f>
        <v>#REF!</v>
      </c>
      <c r="GO195" s="34">
        <f>FY195</f>
        <v>895</v>
      </c>
      <c r="GP195" s="34" t="e">
        <f>FX195</f>
        <v>#REF!</v>
      </c>
      <c r="GQ195" s="34">
        <f>FW195</f>
        <v>308</v>
      </c>
      <c r="GR195" s="34" t="e">
        <f>FV195</f>
        <v>#REF!</v>
      </c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</row>
    <row r="196" spans="1:249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12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W196" s="5"/>
      <c r="EX196" s="5"/>
      <c r="EY196" s="5"/>
      <c r="EZ196" s="5"/>
      <c r="FA196" s="5"/>
      <c r="FB196" s="5"/>
      <c r="FC196" s="5"/>
      <c r="FR196" s="5"/>
      <c r="FS196" s="5"/>
      <c r="FT196" s="5"/>
      <c r="FU196" s="5"/>
      <c r="FV196" s="34" t="e">
        <f>#REF!</f>
        <v>#REF!</v>
      </c>
      <c r="FW196" s="34">
        <f>DE$49</f>
        <v>126</v>
      </c>
      <c r="FX196" s="34" t="e">
        <f>#REF!</f>
        <v>#REF!</v>
      </c>
      <c r="FY196" s="34">
        <v>636</v>
      </c>
      <c r="FZ196" s="34" t="e">
        <f>#REF!</f>
        <v>#REF!</v>
      </c>
      <c r="GA196" s="34" t="e">
        <f>#REF!</f>
        <v>#REF!</v>
      </c>
      <c r="GB196" s="11" t="s">
        <v>153</v>
      </c>
      <c r="GC196" s="8"/>
      <c r="GD196" s="8"/>
      <c r="GE196" s="8"/>
      <c r="GF196" s="8"/>
      <c r="GG196" s="8"/>
      <c r="GH196" s="11" t="s">
        <v>154</v>
      </c>
      <c r="GI196" s="8"/>
      <c r="GJ196" s="8"/>
      <c r="GK196" s="8"/>
      <c r="GL196" s="8"/>
      <c r="GM196" s="34" t="e">
        <f>GA196</f>
        <v>#REF!</v>
      </c>
      <c r="GN196" s="34" t="e">
        <f>FZ196</f>
        <v>#REF!</v>
      </c>
      <c r="GO196" s="34">
        <f>FY196</f>
        <v>636</v>
      </c>
      <c r="GP196" s="34" t="e">
        <f>FX196</f>
        <v>#REF!</v>
      </c>
      <c r="GQ196" s="34">
        <f>FW196</f>
        <v>126</v>
      </c>
      <c r="GR196" s="34" t="e">
        <f>FV196</f>
        <v>#REF!</v>
      </c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</row>
    <row r="197" spans="1:249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12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W197" s="6" t="s">
        <v>35</v>
      </c>
      <c r="EX197" s="6" t="s">
        <v>36</v>
      </c>
      <c r="EY197" s="6" t="s">
        <v>37</v>
      </c>
      <c r="EZ197" s="6" t="s">
        <v>161</v>
      </c>
      <c r="FA197" s="6" t="s">
        <v>39</v>
      </c>
      <c r="FB197" s="19" t="s">
        <v>7</v>
      </c>
      <c r="FC197" s="6" t="s">
        <v>73</v>
      </c>
      <c r="FR197" s="5"/>
      <c r="FS197" s="5"/>
      <c r="FT197" s="5"/>
      <c r="FU197" s="5"/>
      <c r="FV197" s="34" t="e">
        <f>#REF!</f>
        <v>#REF!</v>
      </c>
      <c r="FW197" s="34">
        <f>DE$50</f>
        <v>1</v>
      </c>
      <c r="FX197" s="34" t="e">
        <f>#REF!</f>
        <v>#REF!</v>
      </c>
      <c r="FY197" s="34">
        <v>37</v>
      </c>
      <c r="FZ197" s="34" t="e">
        <f>#REF!</f>
        <v>#REF!</v>
      </c>
      <c r="GA197" s="34" t="e">
        <f>#REF!</f>
        <v>#REF!</v>
      </c>
      <c r="GB197" s="11" t="s">
        <v>151</v>
      </c>
      <c r="GC197" s="8"/>
      <c r="GD197" s="8"/>
      <c r="GE197" s="8"/>
      <c r="GF197" s="8"/>
      <c r="GG197" s="8"/>
      <c r="GH197" s="11" t="s">
        <v>234</v>
      </c>
      <c r="GI197" s="8"/>
      <c r="GJ197" s="8"/>
      <c r="GK197" s="8"/>
      <c r="GL197" s="8"/>
      <c r="GM197" s="34" t="e">
        <f>GA197</f>
        <v>#REF!</v>
      </c>
      <c r="GN197" s="34" t="e">
        <f>FZ197</f>
        <v>#REF!</v>
      </c>
      <c r="GO197" s="34">
        <f>FY197</f>
        <v>37</v>
      </c>
      <c r="GP197" s="34" t="e">
        <f>FX197</f>
        <v>#REF!</v>
      </c>
      <c r="GQ197" s="34">
        <f>FW197</f>
        <v>1</v>
      </c>
      <c r="GR197" s="34" t="e">
        <f>FV197</f>
        <v>#REF!</v>
      </c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</row>
    <row r="198" spans="1:249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12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W198" s="5"/>
      <c r="EX198" s="5"/>
      <c r="EY198" s="5"/>
      <c r="EZ198" s="5"/>
      <c r="FA198" s="5"/>
      <c r="FB198" s="5"/>
      <c r="FC198" s="5"/>
      <c r="FR198" s="5"/>
      <c r="FS198" s="5"/>
      <c r="FT198" s="5"/>
      <c r="FU198" s="5"/>
      <c r="FV198" s="34"/>
      <c r="FW198" s="34"/>
      <c r="FX198" s="34"/>
      <c r="FY198" s="34"/>
      <c r="FZ198" s="34"/>
      <c r="GA198" s="34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34"/>
      <c r="GN198" s="34"/>
      <c r="GO198" s="34"/>
      <c r="GP198" s="34"/>
      <c r="GQ198" s="34"/>
      <c r="GR198" s="34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</row>
    <row r="199" spans="1:249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12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W199" s="34">
        <f>EW201+EW209+EW214+EW216+EW221+EW227+EW229</f>
        <v>10370</v>
      </c>
      <c r="EX199" s="34">
        <f>EX201+EX209+EX214+EX216+EX221+EX227+EX229</f>
        <v>10480</v>
      </c>
      <c r="EY199" s="34">
        <f>EY201+EY209+EY214+EY216+EY221+EY227+EY229</f>
        <v>10500</v>
      </c>
      <c r="EZ199" s="34">
        <f>EZ201+EZ209+EZ214+EZ216+EZ221+EZ227+EZ229</f>
        <v>10470</v>
      </c>
      <c r="FA199" s="34">
        <f>FA201+FA209+FA214+FA216+FA221+FA227+FA229</f>
        <v>10280</v>
      </c>
      <c r="FB199" s="8">
        <v>9770</v>
      </c>
      <c r="FC199" s="11" t="s">
        <v>64</v>
      </c>
      <c r="FR199" s="5"/>
      <c r="FS199" s="5"/>
      <c r="FT199" s="5"/>
      <c r="FU199" s="5"/>
      <c r="FV199" s="34" t="e">
        <f>#REF!</f>
        <v>#REF!</v>
      </c>
      <c r="FW199" s="34">
        <f>DE$52</f>
        <v>607</v>
      </c>
      <c r="FX199" s="34" t="e">
        <f>#REF!</f>
        <v>#REF!</v>
      </c>
      <c r="FY199" s="34">
        <f>FY201+FY202</f>
        <v>6983</v>
      </c>
      <c r="FZ199" s="34" t="e">
        <f>#REF!</f>
        <v>#REF!</v>
      </c>
      <c r="GA199" s="34" t="e">
        <f>#REF!</f>
        <v>#REF!</v>
      </c>
      <c r="GB199" s="11" t="s">
        <v>166</v>
      </c>
      <c r="GC199" s="8"/>
      <c r="GD199" s="8"/>
      <c r="GE199" s="8"/>
      <c r="GF199" s="8"/>
      <c r="GG199" s="8"/>
      <c r="GH199" s="11" t="s">
        <v>218</v>
      </c>
      <c r="GI199" s="8"/>
      <c r="GJ199" s="8"/>
      <c r="GK199" s="8"/>
      <c r="GL199" s="8"/>
      <c r="GM199" s="34" t="e">
        <f>GA199</f>
        <v>#REF!</v>
      </c>
      <c r="GN199" s="34" t="e">
        <f>FZ199</f>
        <v>#REF!</v>
      </c>
      <c r="GO199" s="34">
        <f>FY199</f>
        <v>6983</v>
      </c>
      <c r="GP199" s="34" t="e">
        <f>FX199</f>
        <v>#REF!</v>
      </c>
      <c r="GQ199" s="34">
        <f>FW199</f>
        <v>607</v>
      </c>
      <c r="GR199" s="34" t="e">
        <f>FV199</f>
        <v>#REF!</v>
      </c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</row>
    <row r="200" spans="1:249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12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W200" s="34"/>
      <c r="EX200" s="34"/>
      <c r="EY200" s="34"/>
      <c r="EZ200" s="34"/>
      <c r="FA200" s="34"/>
      <c r="FB200" s="8"/>
      <c r="FC200" s="8"/>
      <c r="FR200" s="5"/>
      <c r="FS200" s="5"/>
      <c r="FT200" s="5"/>
      <c r="FU200" s="5"/>
      <c r="FV200" s="34"/>
      <c r="FW200" s="34"/>
      <c r="FX200" s="34"/>
      <c r="FY200" s="34"/>
      <c r="FZ200" s="34"/>
      <c r="GA200" s="34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34"/>
      <c r="GN200" s="34"/>
      <c r="GO200" s="34"/>
      <c r="GP200" s="34"/>
      <c r="GQ200" s="34"/>
      <c r="GR200" s="34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</row>
    <row r="201" spans="1:249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12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W201" s="34">
        <f>SUM(EW202:EW207)</f>
        <v>189</v>
      </c>
      <c r="EX201" s="34">
        <f>SUM(EX202:EX207)</f>
        <v>210</v>
      </c>
      <c r="EY201" s="34">
        <f>SUM(EY202:EY207)</f>
        <v>242</v>
      </c>
      <c r="EZ201" s="34">
        <f>SUM(EZ202:EZ207)</f>
        <v>226</v>
      </c>
      <c r="FA201" s="34">
        <f>SUM(FA202:FA207)</f>
        <v>254</v>
      </c>
      <c r="FB201" s="8">
        <f>SUM(FB203:FB207)</f>
        <v>258</v>
      </c>
      <c r="FC201" s="11" t="s">
        <v>130</v>
      </c>
      <c r="FR201" s="5"/>
      <c r="FS201" s="5"/>
      <c r="FT201" s="5"/>
      <c r="FU201" s="5"/>
      <c r="FV201" s="34" t="e">
        <f>#REF!</f>
        <v>#REF!</v>
      </c>
      <c r="FW201" s="34">
        <f>DE$55</f>
        <v>527</v>
      </c>
      <c r="FX201" s="34" t="e">
        <f>#REF!</f>
        <v>#REF!</v>
      </c>
      <c r="FY201" s="34">
        <v>6142</v>
      </c>
      <c r="FZ201" s="34" t="e">
        <f>#REF!</f>
        <v>#REF!</v>
      </c>
      <c r="GA201" s="34" t="e">
        <f>#REF!</f>
        <v>#REF!</v>
      </c>
      <c r="GB201" s="11" t="s">
        <v>164</v>
      </c>
      <c r="GC201" s="8"/>
      <c r="GD201" s="8"/>
      <c r="GE201" s="8"/>
      <c r="GF201" s="8"/>
      <c r="GG201" s="8"/>
      <c r="GH201" s="11" t="s">
        <v>165</v>
      </c>
      <c r="GI201" s="8"/>
      <c r="GJ201" s="8"/>
      <c r="GK201" s="8"/>
      <c r="GL201" s="8"/>
      <c r="GM201" s="34" t="e">
        <f>GA201</f>
        <v>#REF!</v>
      </c>
      <c r="GN201" s="34" t="e">
        <f>FZ201</f>
        <v>#REF!</v>
      </c>
      <c r="GO201" s="34">
        <f>FY201</f>
        <v>6142</v>
      </c>
      <c r="GP201" s="34" t="e">
        <f>FX201</f>
        <v>#REF!</v>
      </c>
      <c r="GQ201" s="34">
        <f>FW201</f>
        <v>527</v>
      </c>
      <c r="GR201" s="34" t="e">
        <f>FV201</f>
        <v>#REF!</v>
      </c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</row>
    <row r="202" spans="1:249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12"/>
      <c r="DD202" s="5"/>
      <c r="DE202" s="5"/>
      <c r="DF202" s="5"/>
      <c r="DG202" s="5"/>
      <c r="DH202" s="5"/>
      <c r="DI202" s="5"/>
      <c r="DJ202" s="6" t="s">
        <v>267</v>
      </c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W202" s="34"/>
      <c r="EX202" s="34"/>
      <c r="EY202" s="34"/>
      <c r="EZ202" s="34"/>
      <c r="FA202" s="34"/>
      <c r="FB202" s="8"/>
      <c r="FC202" s="8"/>
      <c r="FR202" s="5"/>
      <c r="FS202" s="5"/>
      <c r="FT202" s="5"/>
      <c r="FU202" s="5"/>
      <c r="FV202" s="34" t="e">
        <f>#REF!</f>
        <v>#REF!</v>
      </c>
      <c r="FW202" s="34">
        <f>DE$56</f>
        <v>80</v>
      </c>
      <c r="FX202" s="34" t="e">
        <f>#REF!</f>
        <v>#REF!</v>
      </c>
      <c r="FY202" s="34">
        <v>841</v>
      </c>
      <c r="FZ202" s="34" t="e">
        <f>#REF!</f>
        <v>#REF!</v>
      </c>
      <c r="GA202" s="34" t="e">
        <f>#REF!</f>
        <v>#REF!</v>
      </c>
      <c r="GB202" s="11" t="s">
        <v>162</v>
      </c>
      <c r="GC202" s="8"/>
      <c r="GD202" s="8"/>
      <c r="GE202" s="8"/>
      <c r="GF202" s="8"/>
      <c r="GG202" s="8"/>
      <c r="GH202" s="11" t="s">
        <v>174</v>
      </c>
      <c r="GI202" s="8"/>
      <c r="GJ202" s="8"/>
      <c r="GK202" s="8"/>
      <c r="GL202" s="8"/>
      <c r="GM202" s="34" t="e">
        <f>GA202</f>
        <v>#REF!</v>
      </c>
      <c r="GN202" s="34" t="e">
        <f>FZ202</f>
        <v>#REF!</v>
      </c>
      <c r="GO202" s="34">
        <f>FY202</f>
        <v>841</v>
      </c>
      <c r="GP202" s="34" t="e">
        <f>FX202</f>
        <v>#REF!</v>
      </c>
      <c r="GQ202" s="34">
        <f>FW202</f>
        <v>80</v>
      </c>
      <c r="GR202" s="34" t="e">
        <f>FV202</f>
        <v>#REF!</v>
      </c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</row>
    <row r="203" spans="1:249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12"/>
      <c r="DD203" s="5"/>
      <c r="DE203" s="5"/>
      <c r="DF203" s="5"/>
      <c r="DG203" s="5"/>
      <c r="DH203" s="5"/>
      <c r="DI203" s="5"/>
      <c r="DJ203" s="6" t="s">
        <v>271</v>
      </c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W203" s="34" t="s">
        <v>124</v>
      </c>
      <c r="EX203" s="34" t="s">
        <v>124</v>
      </c>
      <c r="EY203" s="34" t="s">
        <v>124</v>
      </c>
      <c r="EZ203" s="34" t="s">
        <v>124</v>
      </c>
      <c r="FA203" s="34" t="s">
        <v>124</v>
      </c>
      <c r="FB203" s="11" t="s">
        <v>152</v>
      </c>
      <c r="FC203" s="11" t="s">
        <v>146</v>
      </c>
      <c r="FR203" s="5"/>
      <c r="FS203" s="5"/>
      <c r="FT203" s="5"/>
      <c r="FU203" s="5"/>
      <c r="FV203" s="34"/>
      <c r="FW203" s="34"/>
      <c r="FX203" s="34"/>
      <c r="FY203" s="34"/>
      <c r="FZ203" s="34"/>
      <c r="GA203" s="34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34"/>
      <c r="GN203" s="34"/>
      <c r="GO203" s="34"/>
      <c r="GP203" s="34"/>
      <c r="GQ203" s="34"/>
      <c r="GR203" s="34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</row>
    <row r="204" spans="1:249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12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W204" s="34" t="s">
        <v>124</v>
      </c>
      <c r="EX204" s="34" t="s">
        <v>124</v>
      </c>
      <c r="EY204" s="34" t="s">
        <v>124</v>
      </c>
      <c r="EZ204" s="34" t="s">
        <v>124</v>
      </c>
      <c r="FA204" s="34" t="s">
        <v>124</v>
      </c>
      <c r="FB204" s="11" t="s">
        <v>152</v>
      </c>
      <c r="FC204" s="11" t="s">
        <v>157</v>
      </c>
      <c r="FR204" s="5"/>
      <c r="FS204" s="5"/>
      <c r="FT204" s="5"/>
      <c r="FU204" s="5"/>
      <c r="FV204" s="34" t="e">
        <f>#REF!</f>
        <v>#REF!</v>
      </c>
      <c r="FW204" s="34">
        <f>DE$58</f>
        <v>53</v>
      </c>
      <c r="FX204" s="34" t="e">
        <f>#REF!</f>
        <v>#REF!</v>
      </c>
      <c r="FY204" s="34">
        <v>1269</v>
      </c>
      <c r="FZ204" s="34" t="e">
        <f>#REF!</f>
        <v>#REF!</v>
      </c>
      <c r="GA204" s="34">
        <f>DE$14</f>
        <v>0</v>
      </c>
      <c r="GB204" s="11" t="s">
        <v>172</v>
      </c>
      <c r="GC204" s="8"/>
      <c r="GD204" s="8"/>
      <c r="GE204" s="8"/>
      <c r="GF204" s="8"/>
      <c r="GG204" s="8"/>
      <c r="GH204" s="11" t="s">
        <v>163</v>
      </c>
      <c r="GI204" s="8"/>
      <c r="GJ204" s="8"/>
      <c r="GK204" s="8"/>
      <c r="GL204" s="8"/>
      <c r="GM204" s="34">
        <f>GA204</f>
        <v>0</v>
      </c>
      <c r="GN204" s="34" t="e">
        <f>FZ204</f>
        <v>#REF!</v>
      </c>
      <c r="GO204" s="34">
        <f>FY204</f>
        <v>1269</v>
      </c>
      <c r="GP204" s="34" t="e">
        <f>FX204</f>
        <v>#REF!</v>
      </c>
      <c r="GQ204" s="34">
        <f>FW204</f>
        <v>53</v>
      </c>
      <c r="GR204" s="34" t="e">
        <f>FV204</f>
        <v>#REF!</v>
      </c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</row>
    <row r="205" spans="1:249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12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19" t="s">
        <v>85</v>
      </c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W205" s="34">
        <v>189</v>
      </c>
      <c r="EX205" s="34">
        <v>210</v>
      </c>
      <c r="EY205" s="34">
        <v>242</v>
      </c>
      <c r="EZ205" s="34">
        <v>226</v>
      </c>
      <c r="FA205" s="34">
        <v>254</v>
      </c>
      <c r="FB205" s="8">
        <v>258</v>
      </c>
      <c r="FC205" s="11" t="s">
        <v>155</v>
      </c>
      <c r="FR205" s="5"/>
      <c r="FS205" s="5"/>
      <c r="FT205" s="5"/>
      <c r="FU205" s="5"/>
      <c r="FV205" s="34"/>
      <c r="FW205" s="34"/>
      <c r="FX205" s="34"/>
      <c r="FY205" s="34"/>
      <c r="FZ205" s="34"/>
      <c r="GA205" s="34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34"/>
      <c r="GN205" s="34"/>
      <c r="GO205" s="34"/>
      <c r="GP205" s="34"/>
      <c r="GQ205" s="34"/>
      <c r="GR205" s="34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</row>
    <row r="206" spans="1:249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12"/>
      <c r="DD206" s="5"/>
      <c r="DE206" s="5"/>
      <c r="DF206" s="5"/>
      <c r="DG206" s="5"/>
      <c r="DH206" s="6" t="s">
        <v>37</v>
      </c>
      <c r="DI206" s="6" t="s">
        <v>161</v>
      </c>
      <c r="DJ206" s="6" t="s">
        <v>39</v>
      </c>
      <c r="DK206" s="19" t="s">
        <v>7</v>
      </c>
      <c r="DL206" s="19" t="s">
        <v>40</v>
      </c>
      <c r="DM206" s="19" t="s">
        <v>41</v>
      </c>
      <c r="DN206" s="19" t="s">
        <v>42</v>
      </c>
      <c r="DO206" s="19" t="s">
        <v>43</v>
      </c>
      <c r="DP206" s="19" t="s">
        <v>44</v>
      </c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W206" s="34" t="s">
        <v>124</v>
      </c>
      <c r="EX206" s="34" t="s">
        <v>124</v>
      </c>
      <c r="EY206" s="34" t="s">
        <v>124</v>
      </c>
      <c r="EZ206" s="34" t="s">
        <v>124</v>
      </c>
      <c r="FA206" s="34" t="s">
        <v>124</v>
      </c>
      <c r="FB206" s="11" t="s">
        <v>152</v>
      </c>
      <c r="FC206" s="11" t="s">
        <v>153</v>
      </c>
      <c r="FR206" s="5"/>
      <c r="FS206" s="5"/>
      <c r="FT206" s="5"/>
      <c r="FU206" s="5"/>
      <c r="FV206" s="34" t="s">
        <v>124</v>
      </c>
      <c r="FW206" s="34" t="e">
        <f>DE$60</f>
        <v>#REF!</v>
      </c>
      <c r="FX206" s="34" t="e">
        <f>#REF!</f>
        <v>#REF!</v>
      </c>
      <c r="FY206" s="34">
        <f>FY208+FY209</f>
        <v>1389</v>
      </c>
      <c r="FZ206" s="34" t="e">
        <f>#REF!</f>
        <v>#REF!</v>
      </c>
      <c r="GA206" s="34" t="e">
        <f>#REF!</f>
        <v>#REF!</v>
      </c>
      <c r="GB206" s="11" t="s">
        <v>179</v>
      </c>
      <c r="GC206" s="8"/>
      <c r="GD206" s="8"/>
      <c r="GE206" s="8"/>
      <c r="GF206" s="8"/>
      <c r="GG206" s="8"/>
      <c r="GH206" s="11" t="s">
        <v>168</v>
      </c>
      <c r="GI206" s="8"/>
      <c r="GJ206" s="8"/>
      <c r="GK206" s="8"/>
      <c r="GL206" s="8"/>
      <c r="GM206" s="34" t="e">
        <f>GA206</f>
        <v>#REF!</v>
      </c>
      <c r="GN206" s="34" t="e">
        <f>FZ206</f>
        <v>#REF!</v>
      </c>
      <c r="GO206" s="34">
        <f>FY206</f>
        <v>1389</v>
      </c>
      <c r="GP206" s="34" t="e">
        <f>FX206</f>
        <v>#REF!</v>
      </c>
      <c r="GQ206" s="34" t="e">
        <f>FW206</f>
        <v>#REF!</v>
      </c>
      <c r="GR206" s="34" t="str">
        <f>FV206</f>
        <v>-</v>
      </c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</row>
    <row r="207" spans="1:249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12"/>
      <c r="DD207" s="5"/>
      <c r="DE207" s="5"/>
      <c r="DF207" s="5"/>
      <c r="DG207" s="5"/>
      <c r="DH207" s="138" t="e">
        <f t="shared" ref="DH207:DP207" si="147">SUM(DH208:DH215)</f>
        <v>#REF!</v>
      </c>
      <c r="DI207" s="138" t="e">
        <f t="shared" si="147"/>
        <v>#REF!</v>
      </c>
      <c r="DJ207" s="138" t="e">
        <f t="shared" si="147"/>
        <v>#REF!</v>
      </c>
      <c r="DK207" s="138" t="e">
        <f t="shared" si="147"/>
        <v>#REF!</v>
      </c>
      <c r="DL207" s="138" t="e">
        <f t="shared" si="147"/>
        <v>#REF!</v>
      </c>
      <c r="DM207" s="138" t="e">
        <f t="shared" si="147"/>
        <v>#REF!</v>
      </c>
      <c r="DN207" s="138" t="e">
        <f t="shared" si="147"/>
        <v>#REF!</v>
      </c>
      <c r="DO207" s="138" t="e">
        <f t="shared" si="147"/>
        <v>#REF!</v>
      </c>
      <c r="DP207" s="138" t="e">
        <f t="shared" si="147"/>
        <v>#REF!</v>
      </c>
      <c r="DQ207" s="6" t="s">
        <v>72</v>
      </c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W207" s="34" t="s">
        <v>124</v>
      </c>
      <c r="EX207" s="34" t="s">
        <v>124</v>
      </c>
      <c r="EY207" s="34" t="s">
        <v>124</v>
      </c>
      <c r="EZ207" s="34" t="s">
        <v>124</v>
      </c>
      <c r="FA207" s="34" t="s">
        <v>124</v>
      </c>
      <c r="FB207" s="11" t="s">
        <v>152</v>
      </c>
      <c r="FC207" s="11" t="s">
        <v>151</v>
      </c>
      <c r="FR207" s="5"/>
      <c r="FS207" s="5"/>
      <c r="FT207" s="5"/>
      <c r="FU207" s="5"/>
      <c r="FV207" s="34"/>
      <c r="FW207" s="34"/>
      <c r="FX207" s="34"/>
      <c r="FY207" s="34"/>
      <c r="FZ207" s="34"/>
      <c r="GA207" s="34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34"/>
      <c r="GN207" s="34"/>
      <c r="GO207" s="34"/>
      <c r="GP207" s="34"/>
      <c r="GQ207" s="34"/>
      <c r="GR207" s="34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</row>
    <row r="208" spans="1:249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12"/>
      <c r="DD208" s="5"/>
      <c r="DE208" s="5"/>
      <c r="DF208" s="5"/>
      <c r="DG208" s="5"/>
      <c r="DH208" s="138" t="e">
        <f t="shared" ref="DH208:DP208" si="148">DH188/DH$187*100</f>
        <v>#REF!</v>
      </c>
      <c r="DI208" s="138" t="e">
        <f t="shared" si="148"/>
        <v>#REF!</v>
      </c>
      <c r="DJ208" s="138" t="e">
        <f t="shared" si="148"/>
        <v>#REF!</v>
      </c>
      <c r="DK208" s="138" t="e">
        <f t="shared" si="148"/>
        <v>#REF!</v>
      </c>
      <c r="DL208" s="138" t="e">
        <f t="shared" si="148"/>
        <v>#REF!</v>
      </c>
      <c r="DM208" s="138" t="e">
        <f t="shared" si="148"/>
        <v>#REF!</v>
      </c>
      <c r="DN208" s="138" t="e">
        <f t="shared" si="148"/>
        <v>#REF!</v>
      </c>
      <c r="DO208" s="138" t="e">
        <f t="shared" si="148"/>
        <v>#REF!</v>
      </c>
      <c r="DP208" s="138" t="e">
        <f t="shared" si="148"/>
        <v>#REF!</v>
      </c>
      <c r="DQ208" s="11" t="s">
        <v>226</v>
      </c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W208" s="34"/>
      <c r="EX208" s="34"/>
      <c r="EY208" s="34"/>
      <c r="EZ208" s="34"/>
      <c r="FA208" s="34"/>
      <c r="FB208" s="8"/>
      <c r="FC208" s="8"/>
      <c r="FR208" s="5"/>
      <c r="FS208" s="5"/>
      <c r="FT208" s="5"/>
      <c r="FU208" s="5"/>
      <c r="FV208" s="34" t="e">
        <f>#REF!</f>
        <v>#REF!</v>
      </c>
      <c r="FW208" s="34">
        <f>DE$62</f>
        <v>208</v>
      </c>
      <c r="FX208" s="34" t="e">
        <f>#REF!</f>
        <v>#REF!</v>
      </c>
      <c r="FY208" s="34">
        <v>417</v>
      </c>
      <c r="FZ208" s="34" t="e">
        <f>#REF!</f>
        <v>#REF!</v>
      </c>
      <c r="GA208" s="34" t="e">
        <f>#REF!</f>
        <v>#REF!</v>
      </c>
      <c r="GB208" s="11" t="s">
        <v>209</v>
      </c>
      <c r="GC208" s="8"/>
      <c r="GD208" s="8"/>
      <c r="GE208" s="8"/>
      <c r="GF208" s="8"/>
      <c r="GG208" s="8"/>
      <c r="GH208" s="11" t="s">
        <v>241</v>
      </c>
      <c r="GI208" s="8"/>
      <c r="GJ208" s="8"/>
      <c r="GK208" s="8"/>
      <c r="GL208" s="8"/>
      <c r="GM208" s="34" t="e">
        <f>GA208</f>
        <v>#REF!</v>
      </c>
      <c r="GN208" s="34" t="e">
        <f>FZ208</f>
        <v>#REF!</v>
      </c>
      <c r="GO208" s="34">
        <f>FY208</f>
        <v>417</v>
      </c>
      <c r="GP208" s="34" t="e">
        <f>FX208</f>
        <v>#REF!</v>
      </c>
      <c r="GQ208" s="34">
        <f>FW208</f>
        <v>208</v>
      </c>
      <c r="GR208" s="34" t="e">
        <f>FV208</f>
        <v>#REF!</v>
      </c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</row>
    <row r="209" spans="1:249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12"/>
      <c r="DD209" s="5"/>
      <c r="DE209" s="5"/>
      <c r="DF209" s="5"/>
      <c r="DG209" s="5"/>
      <c r="DH209" s="138" t="e">
        <f t="shared" ref="DH209:DP209" si="149">DH189/DH$187*100</f>
        <v>#REF!</v>
      </c>
      <c r="DI209" s="138" t="e">
        <f t="shared" si="149"/>
        <v>#REF!</v>
      </c>
      <c r="DJ209" s="138" t="e">
        <f t="shared" si="149"/>
        <v>#REF!</v>
      </c>
      <c r="DK209" s="138" t="e">
        <f t="shared" si="149"/>
        <v>#REF!</v>
      </c>
      <c r="DL209" s="138" t="e">
        <f t="shared" si="149"/>
        <v>#REF!</v>
      </c>
      <c r="DM209" s="138" t="e">
        <f t="shared" si="149"/>
        <v>#REF!</v>
      </c>
      <c r="DN209" s="138" t="e">
        <f t="shared" si="149"/>
        <v>#REF!</v>
      </c>
      <c r="DO209" s="138" t="e">
        <f t="shared" si="149"/>
        <v>#REF!</v>
      </c>
      <c r="DP209" s="138" t="e">
        <f t="shared" si="149"/>
        <v>#REF!</v>
      </c>
      <c r="DQ209" s="11" t="s">
        <v>155</v>
      </c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W209" s="34">
        <f>EW211+EW212</f>
        <v>425</v>
      </c>
      <c r="EX209" s="34">
        <f>EX211+EX212</f>
        <v>356</v>
      </c>
      <c r="EY209" s="34">
        <f>EY211+EY212</f>
        <v>336</v>
      </c>
      <c r="EZ209" s="34">
        <f>EZ211+EZ212</f>
        <v>344</v>
      </c>
      <c r="FA209" s="34">
        <f>FA211+FA212</f>
        <v>321</v>
      </c>
      <c r="FB209" s="8">
        <f>SUM(FB211:FB212)</f>
        <v>201</v>
      </c>
      <c r="FC209" s="11" t="s">
        <v>166</v>
      </c>
      <c r="FR209" s="5"/>
      <c r="FS209" s="5"/>
      <c r="FT209" s="5"/>
      <c r="FU209" s="5"/>
      <c r="FV209" s="34" t="e">
        <f>#REF!</f>
        <v>#REF!</v>
      </c>
      <c r="FW209" s="34" t="e">
        <f>#REF!</f>
        <v>#REF!</v>
      </c>
      <c r="FX209" s="34" t="e">
        <f>#REF!</f>
        <v>#REF!</v>
      </c>
      <c r="FY209" s="34">
        <v>972</v>
      </c>
      <c r="FZ209" s="34" t="e">
        <f>#REF!</f>
        <v>#REF!</v>
      </c>
      <c r="GA209" s="34">
        <f>DE$15</f>
        <v>0</v>
      </c>
      <c r="GB209" s="11" t="s">
        <v>189</v>
      </c>
      <c r="GC209" s="8"/>
      <c r="GD209" s="8"/>
      <c r="GE209" s="8"/>
      <c r="GF209" s="8"/>
      <c r="GG209" s="8"/>
      <c r="GH209" s="11" t="s">
        <v>192</v>
      </c>
      <c r="GI209" s="8"/>
      <c r="GJ209" s="8"/>
      <c r="GK209" s="8"/>
      <c r="GL209" s="8"/>
      <c r="GM209" s="34">
        <f>GA209</f>
        <v>0</v>
      </c>
      <c r="GN209" s="34" t="e">
        <f>FZ209</f>
        <v>#REF!</v>
      </c>
      <c r="GO209" s="34">
        <f>FY209</f>
        <v>972</v>
      </c>
      <c r="GP209" s="34" t="e">
        <f>FX209</f>
        <v>#REF!</v>
      </c>
      <c r="GQ209" s="34" t="e">
        <f>FW209</f>
        <v>#REF!</v>
      </c>
      <c r="GR209" s="34" t="e">
        <f>FV209</f>
        <v>#REF!</v>
      </c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</row>
    <row r="210" spans="1:249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12"/>
      <c r="DD210" s="5"/>
      <c r="DE210" s="5"/>
      <c r="DF210" s="5"/>
      <c r="DG210" s="5"/>
      <c r="DH210" s="138" t="e">
        <f t="shared" ref="DH210:DP210" si="150">DH190/DH$187*100</f>
        <v>#REF!</v>
      </c>
      <c r="DI210" s="138" t="e">
        <f t="shared" si="150"/>
        <v>#REF!</v>
      </c>
      <c r="DJ210" s="138" t="e">
        <f t="shared" si="150"/>
        <v>#REF!</v>
      </c>
      <c r="DK210" s="138" t="e">
        <f t="shared" si="150"/>
        <v>#REF!</v>
      </c>
      <c r="DL210" s="138" t="e">
        <f t="shared" si="150"/>
        <v>#REF!</v>
      </c>
      <c r="DM210" s="138" t="e">
        <f t="shared" si="150"/>
        <v>#REF!</v>
      </c>
      <c r="DN210" s="138" t="e">
        <f t="shared" si="150"/>
        <v>#REF!</v>
      </c>
      <c r="DO210" s="138" t="e">
        <f t="shared" si="150"/>
        <v>#REF!</v>
      </c>
      <c r="DP210" s="138" t="e">
        <f t="shared" si="150"/>
        <v>#REF!</v>
      </c>
      <c r="DQ210" s="11" t="s">
        <v>166</v>
      </c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W210" s="34"/>
      <c r="EX210" s="34"/>
      <c r="EY210" s="34"/>
      <c r="EZ210" s="34"/>
      <c r="FA210" s="34"/>
      <c r="FB210" s="8"/>
      <c r="FC210" s="8"/>
      <c r="FR210" s="5"/>
      <c r="FS210" s="5"/>
      <c r="FT210" s="5"/>
      <c r="FU210" s="5"/>
      <c r="FV210" s="34"/>
      <c r="FW210" s="34"/>
      <c r="FX210" s="34"/>
      <c r="FY210" s="34"/>
      <c r="FZ210" s="34"/>
      <c r="GA210" s="34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34"/>
      <c r="GN210" s="34"/>
      <c r="GO210" s="34"/>
      <c r="GP210" s="34"/>
      <c r="GQ210" s="34"/>
      <c r="GR210" s="34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</row>
    <row r="211" spans="1:249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12"/>
      <c r="DD211" s="5"/>
      <c r="DE211" s="5"/>
      <c r="DF211" s="5"/>
      <c r="DG211" s="5"/>
      <c r="DH211" s="138" t="e">
        <f t="shared" ref="DH211:DP211" si="151">DH191/DH$187*100</f>
        <v>#REF!</v>
      </c>
      <c r="DI211" s="138" t="e">
        <f t="shared" si="151"/>
        <v>#REF!</v>
      </c>
      <c r="DJ211" s="138" t="e">
        <f t="shared" si="151"/>
        <v>#REF!</v>
      </c>
      <c r="DK211" s="138" t="e">
        <f t="shared" si="151"/>
        <v>#REF!</v>
      </c>
      <c r="DL211" s="138" t="e">
        <f t="shared" si="151"/>
        <v>#REF!</v>
      </c>
      <c r="DM211" s="138" t="e">
        <f t="shared" si="151"/>
        <v>#REF!</v>
      </c>
      <c r="DN211" s="138" t="e">
        <f t="shared" si="151"/>
        <v>#REF!</v>
      </c>
      <c r="DO211" s="138" t="e">
        <f t="shared" si="151"/>
        <v>#REF!</v>
      </c>
      <c r="DP211" s="138" t="e">
        <f t="shared" si="151"/>
        <v>#REF!</v>
      </c>
      <c r="DQ211" s="11" t="s">
        <v>172</v>
      </c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W211" s="34">
        <v>248</v>
      </c>
      <c r="EX211" s="34">
        <v>266</v>
      </c>
      <c r="EY211" s="34">
        <v>249</v>
      </c>
      <c r="EZ211" s="34">
        <v>250</v>
      </c>
      <c r="FA211" s="34">
        <v>233</v>
      </c>
      <c r="FB211" s="8">
        <v>201</v>
      </c>
      <c r="FC211" s="11" t="s">
        <v>164</v>
      </c>
      <c r="FR211" s="5"/>
      <c r="FS211" s="5"/>
      <c r="FT211" s="5"/>
      <c r="FU211" s="5"/>
      <c r="FV211" s="34" t="e">
        <f>#REF!</f>
        <v>#REF!</v>
      </c>
      <c r="FW211" s="34" t="e">
        <f>#REF!</f>
        <v>#REF!</v>
      </c>
      <c r="FX211" s="34" t="e">
        <f>#REF!</f>
        <v>#REF!</v>
      </c>
      <c r="FY211" s="34">
        <f>FY213+FY214+FY215</f>
        <v>3257</v>
      </c>
      <c r="FZ211" s="34" t="e">
        <f>#REF!</f>
        <v>#REF!</v>
      </c>
      <c r="GA211" s="34">
        <f>DE$30</f>
        <v>0</v>
      </c>
      <c r="GB211" s="11" t="s">
        <v>207</v>
      </c>
      <c r="GC211" s="8"/>
      <c r="GD211" s="8"/>
      <c r="GE211" s="8"/>
      <c r="GF211" s="8"/>
      <c r="GG211" s="8"/>
      <c r="GH211" s="11" t="s">
        <v>180</v>
      </c>
      <c r="GI211" s="8"/>
      <c r="GJ211" s="8"/>
      <c r="GK211" s="8"/>
      <c r="GL211" s="8"/>
      <c r="GM211" s="34">
        <f>GA211</f>
        <v>0</v>
      </c>
      <c r="GN211" s="34" t="e">
        <f>FZ211</f>
        <v>#REF!</v>
      </c>
      <c r="GO211" s="34">
        <f>FY211</f>
        <v>3257</v>
      </c>
      <c r="GP211" s="34" t="e">
        <f>FX211</f>
        <v>#REF!</v>
      </c>
      <c r="GQ211" s="34" t="e">
        <f>FW211</f>
        <v>#REF!</v>
      </c>
      <c r="GR211" s="34" t="e">
        <f>FV211</f>
        <v>#REF!</v>
      </c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</row>
    <row r="212" spans="1:249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12"/>
      <c r="DD212" s="5"/>
      <c r="DE212" s="5"/>
      <c r="DF212" s="5"/>
      <c r="DG212" s="5"/>
      <c r="DH212" s="138" t="e">
        <f t="shared" ref="DH212:DP212" si="152">DH192/DH$187*100</f>
        <v>#REF!</v>
      </c>
      <c r="DI212" s="138" t="e">
        <f t="shared" si="152"/>
        <v>#REF!</v>
      </c>
      <c r="DJ212" s="138" t="e">
        <f t="shared" si="152"/>
        <v>#REF!</v>
      </c>
      <c r="DK212" s="138" t="e">
        <f t="shared" si="152"/>
        <v>#REF!</v>
      </c>
      <c r="DL212" s="138" t="e">
        <f t="shared" si="152"/>
        <v>#REF!</v>
      </c>
      <c r="DM212" s="138" t="e">
        <f t="shared" si="152"/>
        <v>#REF!</v>
      </c>
      <c r="DN212" s="138" t="e">
        <f t="shared" si="152"/>
        <v>#REF!</v>
      </c>
      <c r="DO212" s="138" t="e">
        <f t="shared" si="152"/>
        <v>#REF!</v>
      </c>
      <c r="DP212" s="138" t="e">
        <f t="shared" si="152"/>
        <v>#REF!</v>
      </c>
      <c r="DQ212" s="11" t="s">
        <v>210</v>
      </c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W212" s="34">
        <v>177</v>
      </c>
      <c r="EX212" s="34">
        <v>90</v>
      </c>
      <c r="EY212" s="34">
        <v>87</v>
      </c>
      <c r="EZ212" s="34">
        <v>94</v>
      </c>
      <c r="FA212" s="34">
        <v>88</v>
      </c>
      <c r="FB212" s="11" t="s">
        <v>152</v>
      </c>
      <c r="FC212" s="11" t="s">
        <v>162</v>
      </c>
      <c r="FR212" s="5"/>
      <c r="FS212" s="5"/>
      <c r="FT212" s="5"/>
      <c r="FU212" s="5"/>
      <c r="FV212" s="34"/>
      <c r="FW212" s="34"/>
      <c r="FX212" s="34"/>
      <c r="FY212" s="34"/>
      <c r="FZ212" s="34"/>
      <c r="GA212" s="34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34"/>
      <c r="GN212" s="34"/>
      <c r="GO212" s="34"/>
      <c r="GP212" s="34"/>
      <c r="GQ212" s="34"/>
      <c r="GR212" s="34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</row>
    <row r="213" spans="1:249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12"/>
      <c r="DD213" s="5"/>
      <c r="DE213" s="5"/>
      <c r="DF213" s="5"/>
      <c r="DG213" s="5"/>
      <c r="DH213" s="138" t="e">
        <f t="shared" ref="DH213:DP213" si="153">DH193/DH$187*100</f>
        <v>#REF!</v>
      </c>
      <c r="DI213" s="138" t="e">
        <f t="shared" si="153"/>
        <v>#REF!</v>
      </c>
      <c r="DJ213" s="138" t="e">
        <f t="shared" si="153"/>
        <v>#REF!</v>
      </c>
      <c r="DK213" s="138" t="e">
        <f t="shared" si="153"/>
        <v>#REF!</v>
      </c>
      <c r="DL213" s="138" t="e">
        <f t="shared" si="153"/>
        <v>#REF!</v>
      </c>
      <c r="DM213" s="138" t="e">
        <f t="shared" si="153"/>
        <v>#REF!</v>
      </c>
      <c r="DN213" s="138" t="e">
        <f t="shared" si="153"/>
        <v>#REF!</v>
      </c>
      <c r="DO213" s="138" t="e">
        <f t="shared" si="153"/>
        <v>#REF!</v>
      </c>
      <c r="DP213" s="138" t="e">
        <f t="shared" si="153"/>
        <v>#REF!</v>
      </c>
      <c r="DQ213" s="11" t="s">
        <v>211</v>
      </c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W213" s="34"/>
      <c r="EX213" s="34"/>
      <c r="EY213" s="34"/>
      <c r="EZ213" s="34"/>
      <c r="FA213" s="34"/>
      <c r="FB213" s="8"/>
      <c r="FC213" s="8"/>
      <c r="FR213" s="5"/>
      <c r="FS213" s="5"/>
      <c r="FT213" s="5"/>
      <c r="FU213" s="5"/>
      <c r="FV213" s="34" t="e">
        <f>#REF!</f>
        <v>#REF!</v>
      </c>
      <c r="FW213" s="34" t="e">
        <f>#REF!</f>
        <v>#REF!</v>
      </c>
      <c r="FX213" s="34" t="e">
        <f>#REF!</f>
        <v>#REF!</v>
      </c>
      <c r="FY213" s="34">
        <v>1892</v>
      </c>
      <c r="FZ213" s="34" t="e">
        <f>#REF!</f>
        <v>#REF!</v>
      </c>
      <c r="GA213" s="34" t="e">
        <f>#REF!</f>
        <v>#REF!</v>
      </c>
      <c r="GB213" s="11" t="s">
        <v>210</v>
      </c>
      <c r="GC213" s="8"/>
      <c r="GD213" s="8"/>
      <c r="GE213" s="8"/>
      <c r="GF213" s="8"/>
      <c r="GG213" s="8"/>
      <c r="GH213" s="11" t="s">
        <v>212</v>
      </c>
      <c r="GI213" s="8"/>
      <c r="GJ213" s="8"/>
      <c r="GK213" s="8"/>
      <c r="GL213" s="8"/>
      <c r="GM213" s="34" t="e">
        <f>GA213</f>
        <v>#REF!</v>
      </c>
      <c r="GN213" s="34" t="e">
        <f>FZ213</f>
        <v>#REF!</v>
      </c>
      <c r="GO213" s="34">
        <f>FY213</f>
        <v>1892</v>
      </c>
      <c r="GP213" s="34" t="e">
        <f>FX213</f>
        <v>#REF!</v>
      </c>
      <c r="GQ213" s="34" t="e">
        <f>FW213</f>
        <v>#REF!</v>
      </c>
      <c r="GR213" s="34" t="e">
        <f>FV213</f>
        <v>#REF!</v>
      </c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</row>
    <row r="214" spans="1:249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12"/>
      <c r="DD214" s="5"/>
      <c r="DE214" s="5"/>
      <c r="DF214" s="5"/>
      <c r="DG214" s="5"/>
      <c r="DH214" s="138" t="e">
        <f t="shared" ref="DH214:DP214" si="154">DH194/DH$187*100</f>
        <v>#REF!</v>
      </c>
      <c r="DI214" s="138" t="e">
        <f t="shared" si="154"/>
        <v>#REF!</v>
      </c>
      <c r="DJ214" s="138" t="e">
        <f t="shared" si="154"/>
        <v>#REF!</v>
      </c>
      <c r="DK214" s="138" t="e">
        <f t="shared" si="154"/>
        <v>#REF!</v>
      </c>
      <c r="DL214" s="138" t="e">
        <f t="shared" si="154"/>
        <v>#REF!</v>
      </c>
      <c r="DM214" s="138" t="e">
        <f t="shared" si="154"/>
        <v>#REF!</v>
      </c>
      <c r="DN214" s="138" t="e">
        <f t="shared" si="154"/>
        <v>#REF!</v>
      </c>
      <c r="DO214" s="138" t="e">
        <f t="shared" si="154"/>
        <v>#REF!</v>
      </c>
      <c r="DP214" s="138" t="e">
        <f t="shared" si="154"/>
        <v>#REF!</v>
      </c>
      <c r="DQ214" s="11" t="s">
        <v>230</v>
      </c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W214" s="34" t="s">
        <v>124</v>
      </c>
      <c r="EX214" s="34" t="s">
        <v>124</v>
      </c>
      <c r="EY214" s="34" t="s">
        <v>124</v>
      </c>
      <c r="EZ214" s="34" t="s">
        <v>124</v>
      </c>
      <c r="FA214" s="34" t="s">
        <v>124</v>
      </c>
      <c r="FB214" s="11" t="s">
        <v>152</v>
      </c>
      <c r="FC214" s="11" t="s">
        <v>172</v>
      </c>
      <c r="FR214" s="5"/>
      <c r="FS214" s="5"/>
      <c r="FT214" s="5"/>
      <c r="FU214" s="5"/>
      <c r="FV214" s="34" t="e">
        <f>#REF!</f>
        <v>#REF!</v>
      </c>
      <c r="FW214" s="34" t="e">
        <f>#REF!</f>
        <v>#REF!</v>
      </c>
      <c r="FX214" s="34" t="e">
        <f>#REF!</f>
        <v>#REF!</v>
      </c>
      <c r="FY214" s="34">
        <v>540</v>
      </c>
      <c r="FZ214" s="34" t="e">
        <f>#REF!</f>
        <v>#REF!</v>
      </c>
      <c r="GA214" s="34" t="e">
        <f>#REF!</f>
        <v>#REF!</v>
      </c>
      <c r="GB214" s="11" t="s">
        <v>211</v>
      </c>
      <c r="GC214" s="8"/>
      <c r="GD214" s="8"/>
      <c r="GE214" s="8"/>
      <c r="GF214" s="8"/>
      <c r="GG214" s="8"/>
      <c r="GH214" s="11" t="s">
        <v>214</v>
      </c>
      <c r="GI214" s="8"/>
      <c r="GJ214" s="8"/>
      <c r="GK214" s="8"/>
      <c r="GL214" s="8"/>
      <c r="GM214" s="34" t="e">
        <f>GA214</f>
        <v>#REF!</v>
      </c>
      <c r="GN214" s="34" t="e">
        <f>FZ214</f>
        <v>#REF!</v>
      </c>
      <c r="GO214" s="34">
        <f>FY214</f>
        <v>540</v>
      </c>
      <c r="GP214" s="34" t="e">
        <f>FX214</f>
        <v>#REF!</v>
      </c>
      <c r="GQ214" s="34" t="e">
        <f>FW214</f>
        <v>#REF!</v>
      </c>
      <c r="GR214" s="34" t="e">
        <f>FV214</f>
        <v>#REF!</v>
      </c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</row>
    <row r="215" spans="1:249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12"/>
      <c r="DD215" s="5"/>
      <c r="DE215" s="5"/>
      <c r="DF215" s="5"/>
      <c r="DG215" s="5"/>
      <c r="DH215" s="138" t="e">
        <f t="shared" ref="DH215:DP215" si="155">DH195/DH$187*100</f>
        <v>#REF!</v>
      </c>
      <c r="DI215" s="138" t="e">
        <f t="shared" si="155"/>
        <v>#REF!</v>
      </c>
      <c r="DJ215" s="138" t="e">
        <f t="shared" si="155"/>
        <v>#REF!</v>
      </c>
      <c r="DK215" s="138" t="e">
        <f t="shared" si="155"/>
        <v>#REF!</v>
      </c>
      <c r="DL215" s="138" t="e">
        <f t="shared" si="155"/>
        <v>#REF!</v>
      </c>
      <c r="DM215" s="138" t="e">
        <f t="shared" si="155"/>
        <v>#REF!</v>
      </c>
      <c r="DN215" s="138" t="e">
        <f t="shared" si="155"/>
        <v>#REF!</v>
      </c>
      <c r="DO215" s="138" t="e">
        <f t="shared" si="155"/>
        <v>#REF!</v>
      </c>
      <c r="DP215" s="138" t="e">
        <f t="shared" si="155"/>
        <v>#REF!</v>
      </c>
      <c r="DQ215" s="11" t="s">
        <v>216</v>
      </c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W215" s="34"/>
      <c r="EX215" s="34"/>
      <c r="EY215" s="34"/>
      <c r="EZ215" s="34"/>
      <c r="FA215" s="34"/>
      <c r="FB215" s="8"/>
      <c r="FC215" s="8"/>
      <c r="FR215" s="5"/>
      <c r="FS215" s="5"/>
      <c r="FT215" s="5"/>
      <c r="FU215" s="5"/>
      <c r="FV215" s="34" t="e">
        <f>#REF!</f>
        <v>#REF!</v>
      </c>
      <c r="FW215" s="34" t="e">
        <f>#REF!</f>
        <v>#REF!</v>
      </c>
      <c r="FX215" s="34" t="e">
        <f>#REF!</f>
        <v>#REF!</v>
      </c>
      <c r="FY215" s="34">
        <v>825</v>
      </c>
      <c r="FZ215" s="34" t="e">
        <f>#REF!</f>
        <v>#REF!</v>
      </c>
      <c r="GA215" s="34" t="e">
        <f>#REF!</f>
        <v>#REF!</v>
      </c>
      <c r="GB215" s="11" t="s">
        <v>213</v>
      </c>
      <c r="GC215" s="8"/>
      <c r="GD215" s="8"/>
      <c r="GE215" s="8"/>
      <c r="GF215" s="8"/>
      <c r="GG215" s="8"/>
      <c r="GH215" s="11" t="s">
        <v>215</v>
      </c>
      <c r="GI215" s="8"/>
      <c r="GJ215" s="8"/>
      <c r="GK215" s="8"/>
      <c r="GL215" s="8"/>
      <c r="GM215" s="34" t="e">
        <f>GA215</f>
        <v>#REF!</v>
      </c>
      <c r="GN215" s="34" t="e">
        <f>FZ215</f>
        <v>#REF!</v>
      </c>
      <c r="GO215" s="34">
        <f>FY215</f>
        <v>825</v>
      </c>
      <c r="GP215" s="34" t="e">
        <f>FX215</f>
        <v>#REF!</v>
      </c>
      <c r="GQ215" s="34" t="e">
        <f>FW215</f>
        <v>#REF!</v>
      </c>
      <c r="GR215" s="34" t="e">
        <f>FV215</f>
        <v>#REF!</v>
      </c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</row>
    <row r="216" spans="1:249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12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W216" s="34">
        <f>EW218+EW219</f>
        <v>955</v>
      </c>
      <c r="EX216" s="34">
        <f>EX218+EX219</f>
        <v>900</v>
      </c>
      <c r="EY216" s="34">
        <f>EY218+EY219</f>
        <v>816</v>
      </c>
      <c r="EZ216" s="34">
        <f>EZ218+EZ219</f>
        <v>844</v>
      </c>
      <c r="FA216" s="34">
        <f>FA218+FA219</f>
        <v>806</v>
      </c>
      <c r="FB216" s="8">
        <f>SUM(FB218:FB219)</f>
        <v>776</v>
      </c>
      <c r="FC216" s="11" t="s">
        <v>179</v>
      </c>
      <c r="FR216" s="5"/>
      <c r="FS216" s="5"/>
      <c r="FT216" s="5"/>
      <c r="FU216" s="5"/>
      <c r="FV216" s="34"/>
      <c r="FW216" s="34"/>
      <c r="FX216" s="34"/>
      <c r="FY216" s="34"/>
      <c r="FZ216" s="34"/>
      <c r="GA216" s="34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34"/>
      <c r="GN216" s="34"/>
      <c r="GO216" s="34"/>
      <c r="GP216" s="34"/>
      <c r="GQ216" s="34"/>
      <c r="GR216" s="34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</row>
    <row r="217" spans="1:249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12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W217" s="34"/>
      <c r="EX217" s="34"/>
      <c r="EY217" s="34"/>
      <c r="EZ217" s="34"/>
      <c r="FA217" s="34"/>
      <c r="FB217" s="8"/>
      <c r="FC217" s="8"/>
      <c r="FR217" s="5"/>
      <c r="FS217" s="5"/>
      <c r="FT217" s="5"/>
      <c r="FU217" s="5"/>
      <c r="FV217" s="34" t="e">
        <f>#REF!</f>
        <v>#REF!</v>
      </c>
      <c r="FW217" s="34" t="e">
        <f>#REF!</f>
        <v>#REF!</v>
      </c>
      <c r="FX217" s="34" t="e">
        <f>#REF!</f>
        <v>#REF!</v>
      </c>
      <c r="FY217" s="34">
        <v>247</v>
      </c>
      <c r="FZ217" s="34" t="e">
        <f>#REF!</f>
        <v>#REF!</v>
      </c>
      <c r="GA217" s="34" t="e">
        <f>#REF!</f>
        <v>#REF!</v>
      </c>
      <c r="GB217" s="11" t="s">
        <v>217</v>
      </c>
      <c r="GC217" s="8"/>
      <c r="GD217" s="8"/>
      <c r="GE217" s="8"/>
      <c r="GF217" s="8"/>
      <c r="GG217" s="8"/>
      <c r="GH217" s="11" t="s">
        <v>181</v>
      </c>
      <c r="GI217" s="8"/>
      <c r="GJ217" s="8"/>
      <c r="GK217" s="8"/>
      <c r="GL217" s="8"/>
      <c r="GM217" s="34" t="e">
        <f>GA217</f>
        <v>#REF!</v>
      </c>
      <c r="GN217" s="34" t="e">
        <f>FZ217</f>
        <v>#REF!</v>
      </c>
      <c r="GO217" s="34">
        <f>FY217</f>
        <v>247</v>
      </c>
      <c r="GP217" s="34" t="e">
        <f>FX217</f>
        <v>#REF!</v>
      </c>
      <c r="GQ217" s="34" t="e">
        <f>FW217</f>
        <v>#REF!</v>
      </c>
      <c r="GR217" s="34" t="e">
        <f>FV217</f>
        <v>#REF!</v>
      </c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</row>
    <row r="218" spans="1:249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12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W218" s="34">
        <v>955</v>
      </c>
      <c r="EX218" s="34">
        <v>900</v>
      </c>
      <c r="EY218" s="34">
        <v>816</v>
      </c>
      <c r="EZ218" s="34">
        <v>844</v>
      </c>
      <c r="FA218" s="34">
        <v>806</v>
      </c>
      <c r="FB218" s="8">
        <v>776</v>
      </c>
      <c r="FC218" s="11" t="s">
        <v>185</v>
      </c>
      <c r="FR218" s="5"/>
      <c r="FS218" s="5"/>
      <c r="FT218" s="5"/>
      <c r="FU218" s="5"/>
      <c r="FV218" s="34"/>
      <c r="FW218" s="34"/>
      <c r="FX218" s="34"/>
      <c r="FY218" s="34"/>
      <c r="FZ218" s="34"/>
      <c r="GA218" s="34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34"/>
      <c r="GN218" s="34"/>
      <c r="GO218" s="34"/>
      <c r="GP218" s="34"/>
      <c r="GQ218" s="34"/>
      <c r="GR218" s="34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</row>
    <row r="219" spans="1:249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12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W219" s="34" t="s">
        <v>124</v>
      </c>
      <c r="EX219" s="34" t="s">
        <v>124</v>
      </c>
      <c r="EY219" s="34" t="s">
        <v>124</v>
      </c>
      <c r="EZ219" s="34" t="s">
        <v>124</v>
      </c>
      <c r="FA219" s="34" t="s">
        <v>124</v>
      </c>
      <c r="FB219" s="11" t="s">
        <v>152</v>
      </c>
      <c r="FC219" s="11" t="s">
        <v>189</v>
      </c>
      <c r="FR219" s="5"/>
      <c r="FS219" s="5"/>
      <c r="FT219" s="5"/>
      <c r="FU219" s="5"/>
      <c r="FV219" s="34" t="e">
        <f>#REF!</f>
        <v>#REF!</v>
      </c>
      <c r="FW219" s="34" t="e">
        <f>#REF!</f>
        <v>#REF!</v>
      </c>
      <c r="FX219" s="34" t="e">
        <f>#REF!</f>
        <v>#REF!</v>
      </c>
      <c r="FY219" s="34">
        <v>2249</v>
      </c>
      <c r="FZ219" s="34" t="e">
        <f>#REF!</f>
        <v>#REF!</v>
      </c>
      <c r="GA219" s="34">
        <f>DE$36</f>
        <v>0</v>
      </c>
      <c r="GB219" s="11" t="s">
        <v>216</v>
      </c>
      <c r="GC219" s="8"/>
      <c r="GD219" s="8"/>
      <c r="GE219" s="8"/>
      <c r="GF219" s="8"/>
      <c r="GG219" s="8"/>
      <c r="GH219" s="11" t="s">
        <v>208</v>
      </c>
      <c r="GI219" s="8"/>
      <c r="GJ219" s="8"/>
      <c r="GK219" s="8"/>
      <c r="GL219" s="8"/>
      <c r="GM219" s="34">
        <f>GA219</f>
        <v>0</v>
      </c>
      <c r="GN219" s="34" t="e">
        <f>FZ219</f>
        <v>#REF!</v>
      </c>
      <c r="GO219" s="34">
        <f>FY219</f>
        <v>2249</v>
      </c>
      <c r="GP219" s="34" t="e">
        <f>FX219</f>
        <v>#REF!</v>
      </c>
      <c r="GQ219" s="34" t="e">
        <f>FW219</f>
        <v>#REF!</v>
      </c>
      <c r="GR219" s="34" t="e">
        <f>FV219</f>
        <v>#REF!</v>
      </c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</row>
    <row r="220" spans="1:249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12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W220" s="34"/>
      <c r="EX220" s="34"/>
      <c r="EY220" s="34"/>
      <c r="EZ220" s="34"/>
      <c r="FA220" s="34"/>
      <c r="FB220" s="8"/>
      <c r="FC220" s="8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</row>
    <row r="221" spans="1:249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12"/>
      <c r="DD221" s="5"/>
      <c r="DE221" s="5"/>
      <c r="DF221" s="5"/>
      <c r="DG221" s="5"/>
      <c r="DH221" s="5"/>
      <c r="DI221" s="5"/>
      <c r="DJ221" s="5"/>
      <c r="DK221" s="5"/>
      <c r="DL221" s="6" t="s">
        <v>293</v>
      </c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W221" s="34">
        <f>EW223+EW224+EW225</f>
        <v>2107</v>
      </c>
      <c r="EX221" s="34">
        <f>EX223+EX224+EX225</f>
        <v>2071</v>
      </c>
      <c r="EY221" s="34">
        <f>EY223+EY224+EY225</f>
        <v>2049</v>
      </c>
      <c r="EZ221" s="34">
        <f>EZ223+EZ224+EZ225</f>
        <v>1947</v>
      </c>
      <c r="FA221" s="34">
        <f>FA223+FA224+FA225</f>
        <v>1967</v>
      </c>
      <c r="FB221" s="8">
        <f>SUM(FB223:FB225)</f>
        <v>1763</v>
      </c>
      <c r="FC221" s="11" t="s">
        <v>207</v>
      </c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6" t="s">
        <v>221</v>
      </c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</row>
    <row r="222" spans="1:249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12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6" t="s">
        <v>37</v>
      </c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W222" s="34"/>
      <c r="EX222" s="34"/>
      <c r="EY222" s="34"/>
      <c r="EZ222" s="34"/>
      <c r="FA222" s="34"/>
      <c r="FB222" s="8"/>
      <c r="FC222" s="8"/>
      <c r="FR222" s="5"/>
      <c r="FS222" s="5"/>
      <c r="FT222" s="5"/>
      <c r="FU222" s="5"/>
      <c r="FV222" s="18"/>
      <c r="FW222" s="5"/>
      <c r="FX222" s="6" t="s">
        <v>231</v>
      </c>
      <c r="FY222" s="5"/>
      <c r="FZ222" s="5"/>
      <c r="GA222" s="5"/>
      <c r="GB222" s="5"/>
      <c r="GC222" s="5"/>
      <c r="GD222" s="5"/>
      <c r="GE222" s="5"/>
      <c r="GF222" s="5"/>
      <c r="GG222" s="5"/>
      <c r="GH222" s="6" t="s">
        <v>222</v>
      </c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</row>
    <row r="223" spans="1:249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12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W223" s="34">
        <v>1367</v>
      </c>
      <c r="EX223" s="34">
        <v>1310</v>
      </c>
      <c r="EY223" s="34">
        <v>1180</v>
      </c>
      <c r="EZ223" s="34">
        <v>1144</v>
      </c>
      <c r="FA223" s="34">
        <v>1100</v>
      </c>
      <c r="FB223" s="8">
        <v>927</v>
      </c>
      <c r="FC223" s="11" t="s">
        <v>210</v>
      </c>
      <c r="FR223" s="5"/>
      <c r="FS223" s="5"/>
      <c r="FT223" s="5"/>
      <c r="FU223" s="5"/>
      <c r="FV223" s="6" t="s">
        <v>219</v>
      </c>
      <c r="FW223" s="5"/>
      <c r="FX223" s="18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</row>
    <row r="224" spans="1:249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12"/>
      <c r="DD224" s="5"/>
      <c r="DE224" s="5"/>
      <c r="DF224" s="5"/>
      <c r="DG224" s="5"/>
      <c r="DH224" s="5"/>
      <c r="DI224" s="5"/>
      <c r="DJ224" s="5"/>
      <c r="DK224" s="5"/>
      <c r="DL224" s="5"/>
      <c r="DM224" s="6" t="s">
        <v>31</v>
      </c>
      <c r="DN224" s="6" t="s">
        <v>31</v>
      </c>
      <c r="DO224" s="6" t="s">
        <v>31</v>
      </c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W224" s="34">
        <v>560</v>
      </c>
      <c r="EX224" s="34">
        <v>568</v>
      </c>
      <c r="EY224" s="34">
        <v>654</v>
      </c>
      <c r="EZ224" s="34">
        <v>580</v>
      </c>
      <c r="FA224" s="34">
        <v>626</v>
      </c>
      <c r="FB224" s="8">
        <v>618</v>
      </c>
      <c r="FC224" s="11" t="s">
        <v>211</v>
      </c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</row>
    <row r="225" spans="1:249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12"/>
      <c r="DD225" s="5"/>
      <c r="DE225" s="5"/>
      <c r="DF225" s="5"/>
      <c r="DG225" s="5"/>
      <c r="DH225" s="5"/>
      <c r="DI225" s="5"/>
      <c r="DJ225" s="5"/>
      <c r="DK225" s="5"/>
      <c r="DL225" s="6" t="s">
        <v>84</v>
      </c>
      <c r="DM225" s="6" t="s">
        <v>95</v>
      </c>
      <c r="DN225" s="6" t="s">
        <v>96</v>
      </c>
      <c r="DO225" s="6" t="s">
        <v>30</v>
      </c>
      <c r="DP225" s="6" t="s">
        <v>72</v>
      </c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W225" s="34">
        <v>180</v>
      </c>
      <c r="EX225" s="34">
        <v>193</v>
      </c>
      <c r="EY225" s="34">
        <v>215</v>
      </c>
      <c r="EZ225" s="34">
        <v>223</v>
      </c>
      <c r="FA225" s="34">
        <v>241</v>
      </c>
      <c r="FB225" s="8">
        <v>218</v>
      </c>
      <c r="FC225" s="11" t="s">
        <v>213</v>
      </c>
      <c r="FR225" s="5"/>
      <c r="FS225" s="5"/>
      <c r="FT225" s="5"/>
      <c r="FU225" s="5"/>
      <c r="FV225" s="19" t="s">
        <v>294</v>
      </c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</row>
    <row r="226" spans="1:249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12"/>
      <c r="DD226" s="5"/>
      <c r="DE226" s="5"/>
      <c r="DF226" s="5"/>
      <c r="DG226" s="5"/>
      <c r="DH226" s="5"/>
      <c r="DI226" s="5"/>
      <c r="DJ226" s="5"/>
      <c r="DK226" s="5"/>
      <c r="DL226" s="8" t="e">
        <f>SUM(DL227:DL229)+SUM(DL232:DL233)+SUM(DL236:DL240)</f>
        <v>#REF!</v>
      </c>
      <c r="DM226" s="8" t="e">
        <f>SUM(DM227:DM229)+SUM(DM232:DM233)+SUM(DM236:DM240)</f>
        <v>#REF!</v>
      </c>
      <c r="DN226" s="8" t="e">
        <f>SUM(DN227:DN229)+SUM(DN232:DN233)+SUM(DN236:DN240)</f>
        <v>#REF!</v>
      </c>
      <c r="DO226" s="8" t="e">
        <f>SUM(DO227:DO229)+SUM(DO232:DO233)+SUM(DO236:DO240)</f>
        <v>#REF!</v>
      </c>
      <c r="DP226" s="8" t="e">
        <f t="shared" ref="DP226:DP240" si="156">SUM(DL226:DO226)</f>
        <v>#REF!</v>
      </c>
      <c r="DQ226" s="6" t="s">
        <v>72</v>
      </c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W226" s="34"/>
      <c r="EX226" s="34"/>
      <c r="EY226" s="34"/>
      <c r="EZ226" s="34"/>
      <c r="FA226" s="34"/>
      <c r="FB226" s="8"/>
      <c r="FC226" s="8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</row>
    <row r="227" spans="1:249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12"/>
      <c r="DD227" s="5"/>
      <c r="DE227" s="5"/>
      <c r="DF227" s="5"/>
      <c r="DG227" s="5"/>
      <c r="DH227" s="5"/>
      <c r="DI227" s="5"/>
      <c r="DJ227" s="5"/>
      <c r="DK227" s="5"/>
      <c r="DL227" s="8" t="e">
        <f>#REF!-DL228</f>
        <v>#REF!</v>
      </c>
      <c r="DM227" s="8" t="e">
        <f>DH188</f>
        <v>#REF!</v>
      </c>
      <c r="DN227" s="8" t="e">
        <f>DH148</f>
        <v>#REF!</v>
      </c>
      <c r="DO227" s="8" t="e">
        <f>DH108-152-7-2042*0.6</f>
        <v>#REF!</v>
      </c>
      <c r="DP227" s="8" t="e">
        <f t="shared" si="156"/>
        <v>#REF!</v>
      </c>
      <c r="DQ227" s="11" t="s">
        <v>226</v>
      </c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W227" s="34" t="s">
        <v>124</v>
      </c>
      <c r="EX227" s="34" t="s">
        <v>124</v>
      </c>
      <c r="EY227" s="34" t="s">
        <v>124</v>
      </c>
      <c r="EZ227" s="34" t="s">
        <v>124</v>
      </c>
      <c r="FA227" s="34" t="s">
        <v>124</v>
      </c>
      <c r="FB227" s="11" t="s">
        <v>152</v>
      </c>
      <c r="FC227" s="11" t="s">
        <v>217</v>
      </c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</row>
    <row r="228" spans="1:249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12"/>
      <c r="DD228" s="5"/>
      <c r="DE228" s="5"/>
      <c r="DF228" s="5"/>
      <c r="DG228" s="5"/>
      <c r="DH228" s="5"/>
      <c r="DI228" s="5"/>
      <c r="DJ228" s="5"/>
      <c r="DK228" s="5"/>
      <c r="DL228" s="8" t="e">
        <f>#REF!</f>
        <v>#REF!</v>
      </c>
      <c r="DM228" s="8">
        <f>DH189</f>
        <v>228</v>
      </c>
      <c r="DN228" s="8" t="e">
        <f>DH149</f>
        <v>#REF!</v>
      </c>
      <c r="DO228" s="8" t="e">
        <f>DH109-152-14-2042*0.1</f>
        <v>#REF!</v>
      </c>
      <c r="DP228" s="8" t="e">
        <f t="shared" si="156"/>
        <v>#REF!</v>
      </c>
      <c r="DQ228" s="11" t="s">
        <v>155</v>
      </c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W228" s="5"/>
      <c r="EX228" s="5"/>
      <c r="EY228" s="5"/>
      <c r="EZ228" s="5"/>
      <c r="FA228" s="5"/>
      <c r="FB228" s="8"/>
      <c r="FC228" s="8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</row>
    <row r="229" spans="1:249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12"/>
      <c r="DD229" s="5"/>
      <c r="DE229" s="5"/>
      <c r="DF229" s="5"/>
      <c r="DG229" s="5"/>
      <c r="DH229" s="5"/>
      <c r="DI229" s="5"/>
      <c r="DJ229" s="5"/>
      <c r="DK229" s="5"/>
      <c r="DL229" s="8" t="e">
        <f>SUM(DL230:DL231)</f>
        <v>#REF!</v>
      </c>
      <c r="DM229" s="8">
        <f>SUM(DM230:DM231)</f>
        <v>548</v>
      </c>
      <c r="DN229" s="8" t="e">
        <f>SUM(DN230:DN231)</f>
        <v>#REF!</v>
      </c>
      <c r="DO229" s="8" t="e">
        <f>SUM(DO230:DO231)</f>
        <v>#REF!</v>
      </c>
      <c r="DP229" s="8" t="e">
        <f t="shared" si="156"/>
        <v>#REF!</v>
      </c>
      <c r="DQ229" s="11" t="s">
        <v>166</v>
      </c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W229" s="34">
        <v>6694</v>
      </c>
      <c r="EX229" s="34">
        <v>6943</v>
      </c>
      <c r="EY229" s="34">
        <v>7057</v>
      </c>
      <c r="EZ229" s="34">
        <v>7109</v>
      </c>
      <c r="FA229" s="34">
        <v>6932</v>
      </c>
      <c r="FB229" s="8">
        <v>6654</v>
      </c>
      <c r="FC229" s="11" t="s">
        <v>216</v>
      </c>
      <c r="FR229" s="5"/>
      <c r="FS229" s="5"/>
      <c r="FT229" s="5"/>
      <c r="FU229" s="5"/>
      <c r="FV229" s="5"/>
      <c r="FW229" s="5"/>
      <c r="FX229" s="5"/>
      <c r="FY229" s="5"/>
      <c r="FZ229" s="5" t="s">
        <v>295</v>
      </c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</row>
    <row r="230" spans="1:249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12"/>
      <c r="DD230" s="5"/>
      <c r="DE230" s="5"/>
      <c r="DF230" s="5"/>
      <c r="DG230" s="5"/>
      <c r="DH230" s="5"/>
      <c r="DI230" s="5"/>
      <c r="DJ230" s="5"/>
      <c r="DK230" s="5"/>
      <c r="DL230" s="8" t="e">
        <f>#REF!</f>
        <v>#REF!</v>
      </c>
      <c r="DM230" s="8">
        <f>DG55</f>
        <v>472</v>
      </c>
      <c r="DN230" s="8" t="e">
        <f>#REF!</f>
        <v>#REF!</v>
      </c>
      <c r="DO230" s="8" t="e">
        <f>#REF!-2042*0.3</f>
        <v>#REF!</v>
      </c>
      <c r="DP230" s="8" t="e">
        <f t="shared" si="156"/>
        <v>#REF!</v>
      </c>
      <c r="DQ230" s="11" t="s">
        <v>164</v>
      </c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</row>
    <row r="231" spans="1:249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12"/>
      <c r="DD231" s="5"/>
      <c r="DE231" s="5"/>
      <c r="DF231" s="5"/>
      <c r="DG231" s="5"/>
      <c r="DH231" s="5"/>
      <c r="DI231" s="5"/>
      <c r="DJ231" s="5"/>
      <c r="DK231" s="5"/>
      <c r="DL231" s="8" t="e">
        <f>#REF!</f>
        <v>#REF!</v>
      </c>
      <c r="DM231" s="8">
        <f>DG56</f>
        <v>76</v>
      </c>
      <c r="DN231" s="8" t="e">
        <f>#REF!</f>
        <v>#REF!</v>
      </c>
      <c r="DO231" s="8" t="e">
        <f>#REF!</f>
        <v>#REF!</v>
      </c>
      <c r="DP231" s="8" t="e">
        <f t="shared" si="156"/>
        <v>#REF!</v>
      </c>
      <c r="DQ231" s="11" t="s">
        <v>162</v>
      </c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</row>
    <row r="232" spans="1:249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12"/>
      <c r="DD232" s="5"/>
      <c r="DE232" s="5"/>
      <c r="DF232" s="5"/>
      <c r="DG232" s="5"/>
      <c r="DH232" s="5"/>
      <c r="DI232" s="5"/>
      <c r="DJ232" s="5"/>
      <c r="DK232" s="5"/>
      <c r="DL232" s="8"/>
      <c r="DM232" s="8">
        <f>DH191</f>
        <v>51</v>
      </c>
      <c r="DN232" s="8" t="e">
        <f>DH151</f>
        <v>#REF!</v>
      </c>
      <c r="DO232" s="8" t="e">
        <f>DH111</f>
        <v>#REF!</v>
      </c>
      <c r="DP232" s="8" t="e">
        <f t="shared" si="156"/>
        <v>#REF!</v>
      </c>
      <c r="DQ232" s="11" t="s">
        <v>172</v>
      </c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</row>
    <row r="233" spans="1:249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12"/>
      <c r="DD233" s="5"/>
      <c r="DE233" s="5"/>
      <c r="DF233" s="5"/>
      <c r="DG233" s="5"/>
      <c r="DH233" s="5"/>
      <c r="DI233" s="5"/>
      <c r="DJ233" s="5"/>
      <c r="DK233" s="5"/>
      <c r="DL233" s="8">
        <f>SUM(DL234:DL235)</f>
        <v>0</v>
      </c>
      <c r="DM233" s="8" t="e">
        <f>SUM(DM234:DM235)</f>
        <v>#REF!</v>
      </c>
      <c r="DN233" s="8" t="e">
        <f>SUM(DN234:DN235)</f>
        <v>#REF!</v>
      </c>
      <c r="DO233" s="8" t="e">
        <f>SUM(DO234:DO235)</f>
        <v>#REF!</v>
      </c>
      <c r="DP233" s="8" t="e">
        <f t="shared" si="156"/>
        <v>#REF!</v>
      </c>
      <c r="DQ233" s="11" t="s">
        <v>185</v>
      </c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</row>
    <row r="234" spans="1:249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12"/>
      <c r="DD234" s="5"/>
      <c r="DE234" s="5"/>
      <c r="DF234" s="5"/>
      <c r="DG234" s="5"/>
      <c r="DH234" s="5"/>
      <c r="DI234" s="5"/>
      <c r="DJ234" s="5"/>
      <c r="DK234" s="5"/>
      <c r="DL234" s="8"/>
      <c r="DM234" s="8">
        <f>DG62</f>
        <v>191</v>
      </c>
      <c r="DN234" s="8">
        <v>100</v>
      </c>
      <c r="DO234" s="8" t="e">
        <f>#REF!</f>
        <v>#REF!</v>
      </c>
      <c r="DP234" s="8" t="e">
        <f t="shared" si="156"/>
        <v>#REF!</v>
      </c>
      <c r="DQ234" s="11" t="s">
        <v>185</v>
      </c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</row>
    <row r="235" spans="1:249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12"/>
      <c r="DD235" s="5"/>
      <c r="DE235" s="5"/>
      <c r="DF235" s="5"/>
      <c r="DG235" s="5"/>
      <c r="DH235" s="5"/>
      <c r="DI235" s="5"/>
      <c r="DJ235" s="5"/>
      <c r="DK235" s="5"/>
      <c r="DL235" s="8"/>
      <c r="DM235" s="8" t="e">
        <f>#REF!</f>
        <v>#REF!</v>
      </c>
      <c r="DN235" s="8" t="e">
        <f>#REF!</f>
        <v>#REF!</v>
      </c>
      <c r="DO235" s="8" t="e">
        <f>#REF!</f>
        <v>#REF!</v>
      </c>
      <c r="DP235" s="8" t="e">
        <f t="shared" si="156"/>
        <v>#REF!</v>
      </c>
      <c r="DQ235" s="11" t="s">
        <v>189</v>
      </c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</row>
    <row r="236" spans="1:249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12"/>
      <c r="DD236" s="5"/>
      <c r="DE236" s="5"/>
      <c r="DF236" s="5"/>
      <c r="DG236" s="5"/>
      <c r="DH236" s="5"/>
      <c r="DI236" s="5"/>
      <c r="DJ236" s="5"/>
      <c r="DK236" s="5"/>
      <c r="DL236" s="8" t="e">
        <f>#REF!</f>
        <v>#REF!</v>
      </c>
      <c r="DM236" s="8" t="e">
        <f>DH192</f>
        <v>#REF!</v>
      </c>
      <c r="DN236" s="8" t="e">
        <f>DH152</f>
        <v>#REF!</v>
      </c>
      <c r="DO236" s="8" t="e">
        <f>DH112-74-3</f>
        <v>#REF!</v>
      </c>
      <c r="DP236" s="8" t="e">
        <f t="shared" si="156"/>
        <v>#REF!</v>
      </c>
      <c r="DQ236" s="11" t="s">
        <v>210</v>
      </c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</row>
    <row r="237" spans="1:249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12"/>
      <c r="DD237" s="5"/>
      <c r="DE237" s="5"/>
      <c r="DF237" s="5"/>
      <c r="DG237" s="5"/>
      <c r="DH237" s="5"/>
      <c r="DI237" s="5"/>
      <c r="DJ237" s="5"/>
      <c r="DK237" s="5"/>
      <c r="DL237" s="8" t="e">
        <f>#REF!</f>
        <v>#REF!</v>
      </c>
      <c r="DM237" s="8" t="e">
        <f>DH193</f>
        <v>#REF!</v>
      </c>
      <c r="DN237" s="8" t="e">
        <f>DH153</f>
        <v>#REF!</v>
      </c>
      <c r="DO237" s="8" t="e">
        <f>DH113</f>
        <v>#REF!</v>
      </c>
      <c r="DP237" s="8" t="e">
        <f t="shared" si="156"/>
        <v>#REF!</v>
      </c>
      <c r="DQ237" s="11" t="s">
        <v>211</v>
      </c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</row>
    <row r="238" spans="1:249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12"/>
      <c r="DD238" s="5"/>
      <c r="DE238" s="5"/>
      <c r="DF238" s="5"/>
      <c r="DG238" s="5"/>
      <c r="DH238" s="5"/>
      <c r="DI238" s="5"/>
      <c r="DJ238" s="5"/>
      <c r="DK238" s="5"/>
      <c r="DL238" s="8"/>
      <c r="DM238" s="8" t="e">
        <f>DH194-DM239-DM233</f>
        <v>#REF!</v>
      </c>
      <c r="DN238" s="8" t="e">
        <f>DH154-DN239-DN235</f>
        <v>#REF!</v>
      </c>
      <c r="DO238" s="8" t="e">
        <f>DH114-DO239-DO233-147-4</f>
        <v>#REF!</v>
      </c>
      <c r="DP238" s="8" t="e">
        <f t="shared" si="156"/>
        <v>#REF!</v>
      </c>
      <c r="DQ238" s="11" t="s">
        <v>213</v>
      </c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</row>
    <row r="239" spans="1:249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12"/>
      <c r="DD239" s="5"/>
      <c r="DE239" s="5"/>
      <c r="DF239" s="5"/>
      <c r="DG239" s="5"/>
      <c r="DH239" s="5"/>
      <c r="DI239" s="5"/>
      <c r="DJ239" s="5"/>
      <c r="DK239" s="5"/>
      <c r="DL239" s="8"/>
      <c r="DM239" s="8" t="e">
        <f>#REF!</f>
        <v>#REF!</v>
      </c>
      <c r="DN239" s="8" t="e">
        <f>#REF!</f>
        <v>#REF!</v>
      </c>
      <c r="DO239" s="8" t="e">
        <f>#REF!</f>
        <v>#REF!</v>
      </c>
      <c r="DP239" s="8" t="e">
        <f t="shared" si="156"/>
        <v>#REF!</v>
      </c>
      <c r="DQ239" s="11" t="s">
        <v>217</v>
      </c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</row>
    <row r="240" spans="1:249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12"/>
      <c r="DD240" s="5"/>
      <c r="DE240" s="5"/>
      <c r="DF240" s="5"/>
      <c r="DG240" s="5"/>
      <c r="DH240" s="5"/>
      <c r="DI240" s="5"/>
      <c r="DJ240" s="5"/>
      <c r="DK240" s="5"/>
      <c r="DL240" s="8" t="e">
        <f>#REF!</f>
        <v>#REF!</v>
      </c>
      <c r="DM240" s="8" t="e">
        <f>DH195</f>
        <v>#REF!</v>
      </c>
      <c r="DN240" s="8" t="e">
        <f>DH155</f>
        <v>#REF!</v>
      </c>
      <c r="DO240" s="8" t="e">
        <f>DH115</f>
        <v>#REF!</v>
      </c>
      <c r="DP240" s="8" t="e">
        <f t="shared" si="156"/>
        <v>#REF!</v>
      </c>
      <c r="DQ240" s="11" t="s">
        <v>216</v>
      </c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</row>
    <row r="241" spans="1:249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12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</row>
    <row r="242" spans="1:249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12"/>
      <c r="DD242" s="5"/>
      <c r="DE242" s="5"/>
      <c r="DF242" s="5"/>
      <c r="DG242" s="5"/>
      <c r="DH242" s="5"/>
      <c r="DI242" s="5"/>
      <c r="DJ242" s="5"/>
      <c r="DK242" s="5"/>
      <c r="DL242" s="6" t="s">
        <v>296</v>
      </c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</row>
    <row r="243" spans="1:249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12"/>
      <c r="DD243" s="5"/>
      <c r="DE243" s="5"/>
      <c r="DF243" s="5"/>
      <c r="DG243" s="5"/>
      <c r="DH243" s="5"/>
      <c r="DI243" s="5"/>
      <c r="DJ243" s="5"/>
      <c r="DK243" s="5"/>
      <c r="DL243" s="6" t="s">
        <v>297</v>
      </c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</row>
    <row r="244" spans="1:249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12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6" t="s">
        <v>298</v>
      </c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</row>
    <row r="245" spans="1:249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12"/>
      <c r="DD245" s="5"/>
      <c r="DE245" s="5"/>
      <c r="DF245" s="5"/>
      <c r="DG245" s="5"/>
      <c r="DH245" s="5"/>
      <c r="DI245" s="5"/>
      <c r="DJ245" s="5"/>
      <c r="DK245" s="5"/>
      <c r="DL245" s="6" t="s">
        <v>299</v>
      </c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</row>
    <row r="246" spans="1:249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12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6" t="s">
        <v>300</v>
      </c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</row>
    <row r="247" spans="1:249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12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6" t="s">
        <v>301</v>
      </c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</row>
    <row r="248" spans="1:249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12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</row>
    <row r="249" spans="1:249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12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</row>
    <row r="250" spans="1:249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12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</row>
    <row r="251" spans="1:249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12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</row>
    <row r="252" spans="1:249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12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</row>
    <row r="253" spans="1:249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12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</row>
    <row r="254" spans="1:249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12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</row>
    <row r="255" spans="1:249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12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</row>
    <row r="256" spans="1:249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12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</row>
    <row r="257" spans="1:249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12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</row>
    <row r="258" spans="1:249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12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</row>
    <row r="259" spans="1:249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12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</row>
    <row r="260" spans="1:249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12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</row>
    <row r="261" spans="1:249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12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</row>
    <row r="262" spans="1:249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12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</row>
    <row r="263" spans="1:249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12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6" t="s">
        <v>302</v>
      </c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</row>
    <row r="264" spans="1:249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12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6" t="s">
        <v>36</v>
      </c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</row>
    <row r="265" spans="1:249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12"/>
      <c r="DD265" s="5"/>
      <c r="DE265" s="5"/>
      <c r="DF265" s="5"/>
      <c r="DG265" s="5"/>
      <c r="DH265" s="5"/>
      <c r="DI265" s="5"/>
      <c r="DJ265" s="5"/>
      <c r="DK265" s="5"/>
      <c r="DL265" s="5"/>
      <c r="DM265" s="6" t="s">
        <v>303</v>
      </c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6" t="s">
        <v>15</v>
      </c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</row>
    <row r="266" spans="1:249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12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6" t="s">
        <v>304</v>
      </c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155"/>
      <c r="FX266" s="155"/>
      <c r="FY266" s="156" t="s">
        <v>30</v>
      </c>
      <c r="FZ266" s="156" t="s">
        <v>31</v>
      </c>
      <c r="GA266" s="15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</row>
    <row r="267" spans="1:249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12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155"/>
      <c r="FZ267" s="15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</row>
    <row r="268" spans="1:249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12"/>
      <c r="DD268" s="5"/>
      <c r="DE268" s="5"/>
      <c r="DF268" s="5"/>
      <c r="DG268" s="5"/>
      <c r="DH268" s="5"/>
      <c r="DI268" s="5"/>
      <c r="DJ268" s="5"/>
      <c r="DK268" s="5"/>
      <c r="DL268" s="6" t="s">
        <v>305</v>
      </c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6" t="s">
        <v>31</v>
      </c>
      <c r="FX268" s="6" t="s">
        <v>31</v>
      </c>
      <c r="FY268" s="6" t="s">
        <v>32</v>
      </c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</row>
    <row r="269" spans="1:249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12"/>
      <c r="DD269" s="5"/>
      <c r="DE269" s="5"/>
      <c r="DF269" s="5"/>
      <c r="DG269" s="5"/>
      <c r="DH269" s="5"/>
      <c r="DI269" s="5"/>
      <c r="DJ269" s="5"/>
      <c r="DK269" s="156" t="s">
        <v>306</v>
      </c>
      <c r="DL269" s="156" t="s">
        <v>307</v>
      </c>
      <c r="DM269" s="156" t="s">
        <v>306</v>
      </c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6" t="s">
        <v>95</v>
      </c>
      <c r="FX269" s="6" t="s">
        <v>96</v>
      </c>
      <c r="FY269" s="6" t="s">
        <v>97</v>
      </c>
      <c r="FZ269" s="6" t="s">
        <v>72</v>
      </c>
      <c r="GA269" s="6" t="s">
        <v>64</v>
      </c>
      <c r="GB269" s="6" t="s">
        <v>308</v>
      </c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</row>
    <row r="270" spans="1:249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12"/>
      <c r="DD270" s="5"/>
      <c r="DE270" s="5"/>
      <c r="DF270" s="5"/>
      <c r="DG270" s="5"/>
      <c r="DH270" s="5"/>
      <c r="DI270" s="5"/>
      <c r="DJ270" s="5"/>
      <c r="DK270" s="6" t="s">
        <v>36</v>
      </c>
      <c r="DL270" s="6" t="s">
        <v>36</v>
      </c>
      <c r="DM270" s="6" t="s">
        <v>45</v>
      </c>
      <c r="DN270" s="6" t="s">
        <v>36</v>
      </c>
      <c r="DO270" s="6" t="s">
        <v>40</v>
      </c>
      <c r="DP270" s="19" t="s">
        <v>45</v>
      </c>
      <c r="DQ270" s="19" t="s">
        <v>46</v>
      </c>
      <c r="DR270" s="19" t="s">
        <v>47</v>
      </c>
      <c r="DS270" s="6" t="s">
        <v>48</v>
      </c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155"/>
      <c r="FX270" s="155"/>
      <c r="FY270" s="155"/>
      <c r="FZ270" s="155"/>
      <c r="GA270" s="155"/>
      <c r="GB270" s="15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</row>
    <row r="271" spans="1:249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12"/>
      <c r="DD271" s="5"/>
      <c r="DE271" s="5"/>
      <c r="DF271" s="5"/>
      <c r="DG271" s="5"/>
      <c r="DH271" s="5"/>
      <c r="DI271" s="5"/>
      <c r="DJ271" s="5"/>
      <c r="DK271" s="157" t="e">
        <f>DN271/DR271</f>
        <v>#REF!</v>
      </c>
      <c r="DL271" s="157" t="e">
        <f>DN271/DP271</f>
        <v>#REF!</v>
      </c>
      <c r="DM271" s="157">
        <f>DP271/DR271</f>
        <v>1.3948121993939226</v>
      </c>
      <c r="DN271" s="158" t="e">
        <f>DN273+DN281+DN286+DN288+DN293+DN299+DN301</f>
        <v>#REF!</v>
      </c>
      <c r="DO271" s="158">
        <f>DO273+DO281+DO286+DO288+DO293+DO299+DO301</f>
        <v>55246</v>
      </c>
      <c r="DP271" s="158">
        <f>DP273+DP281+DP286+DP288+DP293+DP299+DP301</f>
        <v>50170</v>
      </c>
      <c r="DQ271" s="158">
        <f>DQ273+DQ281+DQ286+DQ288+DQ293+DQ299+DQ301</f>
        <v>42998</v>
      </c>
      <c r="DR271" s="158">
        <f>DR273+DR281+DR286+DR288+DR293+DR299+DR301</f>
        <v>35969</v>
      </c>
      <c r="DS271" s="159" t="s">
        <v>235</v>
      </c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8" t="e">
        <f>FW273+FW284</f>
        <v>#REF!</v>
      </c>
      <c r="FX271" s="8" t="e">
        <f>FX273+FX284</f>
        <v>#REF!</v>
      </c>
      <c r="FY271" s="8">
        <f>FY273+FY284</f>
        <v>7943</v>
      </c>
      <c r="FZ271" s="8" t="e">
        <f>FZ273+FZ284</f>
        <v>#REF!</v>
      </c>
      <c r="GA271" s="8" t="e">
        <f>GA273+GA284</f>
        <v>#REF!</v>
      </c>
      <c r="GB271" s="6" t="s">
        <v>64</v>
      </c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</row>
    <row r="272" spans="1:249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12"/>
      <c r="DD272" s="5"/>
      <c r="DE272" s="5"/>
      <c r="DF272" s="5"/>
      <c r="DG272" s="5"/>
      <c r="DH272" s="5"/>
      <c r="DI272" s="5"/>
      <c r="DJ272" s="5"/>
      <c r="DK272" s="140"/>
      <c r="DL272" s="140"/>
      <c r="DM272" s="140"/>
      <c r="DN272" s="34"/>
      <c r="DO272" s="34"/>
      <c r="DP272" s="34"/>
      <c r="DQ272" s="34"/>
      <c r="DR272" s="34"/>
      <c r="DS272" s="18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8"/>
      <c r="FX272" s="8"/>
      <c r="FY272" s="8"/>
      <c r="FZ272" s="8"/>
      <c r="GA272" s="8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</row>
    <row r="273" spans="1:249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12"/>
      <c r="DD273" s="5"/>
      <c r="DE273" s="5"/>
      <c r="DF273" s="5"/>
      <c r="DG273" s="5"/>
      <c r="DH273" s="5"/>
      <c r="DI273" s="5"/>
      <c r="DJ273" s="5"/>
      <c r="DK273" s="140">
        <f>DN273/DR273</f>
        <v>3.0052252252252254</v>
      </c>
      <c r="DL273" s="140">
        <f>DN273/DP273</f>
        <v>1.8273349767187073</v>
      </c>
      <c r="DM273" s="140">
        <f>DP273/DR273</f>
        <v>1.6445945945945946</v>
      </c>
      <c r="DN273" s="34">
        <f>SUM(DN274:DN279)</f>
        <v>33358</v>
      </c>
      <c r="DO273" s="34">
        <f>SUM(DO274:DO279)</f>
        <v>18966</v>
      </c>
      <c r="DP273" s="34">
        <f>SUM(DP274:DP279)</f>
        <v>18255</v>
      </c>
      <c r="DQ273" s="34">
        <f>SUM(DQ274:DQ279)</f>
        <v>14547</v>
      </c>
      <c r="DR273" s="34">
        <f>SUM(DR274:DR279)</f>
        <v>11100</v>
      </c>
      <c r="DS273" s="11" t="s">
        <v>130</v>
      </c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8" t="e">
        <f>FW274+FW280</f>
        <v>#REF!</v>
      </c>
      <c r="FX273" s="8" t="e">
        <f>FX274+FX280</f>
        <v>#REF!</v>
      </c>
      <c r="FY273" s="8">
        <f>FY274+FY280</f>
        <v>5225</v>
      </c>
      <c r="FZ273" s="8" t="e">
        <f>FZ274+FZ280</f>
        <v>#REF!</v>
      </c>
      <c r="GA273" s="8" t="e">
        <f>GA274+GA280</f>
        <v>#REF!</v>
      </c>
      <c r="GB273" s="6" t="s">
        <v>309</v>
      </c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</row>
    <row r="274" spans="1:249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12"/>
      <c r="DD274" s="5"/>
      <c r="DE274" s="5"/>
      <c r="DF274" s="5"/>
      <c r="DG274" s="5"/>
      <c r="DH274" s="5"/>
      <c r="DI274" s="5"/>
      <c r="DJ274" s="5"/>
      <c r="DK274" s="140"/>
      <c r="DL274" s="140"/>
      <c r="DM274" s="140"/>
      <c r="DN274" s="8"/>
      <c r="DO274" s="34"/>
      <c r="DP274" s="34"/>
      <c r="DQ274" s="34"/>
      <c r="DR274" s="34"/>
      <c r="DS274" s="8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8" t="e">
        <f>SUM(FW276:FW278)</f>
        <v>#REF!</v>
      </c>
      <c r="FX274" s="8" t="e">
        <f>SUM(FX276:FX278)</f>
        <v>#REF!</v>
      </c>
      <c r="FY274" s="8">
        <f>SUM(FY276:FY278)</f>
        <v>3099</v>
      </c>
      <c r="FZ274" s="8">
        <f>SUM(FZ276:FZ278)</f>
        <v>9626</v>
      </c>
      <c r="GA274" s="8" t="e">
        <f>SUM(GA276:GA278)</f>
        <v>#REF!</v>
      </c>
      <c r="GB274" s="11" t="s">
        <v>207</v>
      </c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</row>
    <row r="275" spans="1:249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12"/>
      <c r="DD275" s="5"/>
      <c r="DE275" s="5"/>
      <c r="DF275" s="5"/>
      <c r="DG275" s="5"/>
      <c r="DH275" s="5"/>
      <c r="DI275" s="5"/>
      <c r="DJ275" s="5"/>
      <c r="DK275" s="140">
        <f>DN275/DR275</f>
        <v>2.6060911150264285</v>
      </c>
      <c r="DL275" s="140">
        <f>DN275/DP275</f>
        <v>1.8525675433887994</v>
      </c>
      <c r="DM275" s="140">
        <f>DP275/DR275</f>
        <v>1.4067455323433173</v>
      </c>
      <c r="DN275" s="8">
        <v>10354</v>
      </c>
      <c r="DO275" s="34">
        <v>5158</v>
      </c>
      <c r="DP275" s="34">
        <v>5589</v>
      </c>
      <c r="DQ275" s="34">
        <v>4453</v>
      </c>
      <c r="DR275" s="34">
        <v>3973</v>
      </c>
      <c r="DS275" s="11" t="s">
        <v>146</v>
      </c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8"/>
      <c r="FX275" s="8"/>
      <c r="FY275" s="8"/>
      <c r="FZ275" s="8"/>
      <c r="GA275" s="8"/>
      <c r="GB275" s="8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</row>
    <row r="276" spans="1:249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12"/>
      <c r="DD276" s="5"/>
      <c r="DE276" s="5"/>
      <c r="DF276" s="5"/>
      <c r="DG276" s="5"/>
      <c r="DH276" s="5"/>
      <c r="DI276" s="5"/>
      <c r="DJ276" s="5"/>
      <c r="DK276" s="140">
        <f>DN276/DR276</f>
        <v>1.3722278225806452</v>
      </c>
      <c r="DL276" s="140">
        <f>DN276/DP276</f>
        <v>1.461352657004831</v>
      </c>
      <c r="DM276" s="140">
        <f>DP276/DR276</f>
        <v>0.93901209677419351</v>
      </c>
      <c r="DN276" s="8">
        <v>5445</v>
      </c>
      <c r="DO276" s="34">
        <v>4014</v>
      </c>
      <c r="DP276" s="34">
        <v>3726</v>
      </c>
      <c r="DQ276" s="34">
        <v>3770</v>
      </c>
      <c r="DR276" s="34">
        <v>3968</v>
      </c>
      <c r="DS276" s="11" t="s">
        <v>157</v>
      </c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8" t="e">
        <f>[3]STUDENTS!DV219</f>
        <v>#REF!</v>
      </c>
      <c r="FX276" s="8" t="e">
        <f>[3]STUDENTS!DW219</f>
        <v>#REF!</v>
      </c>
      <c r="FY276" s="8">
        <v>1766</v>
      </c>
      <c r="FZ276" s="8">
        <v>5805</v>
      </c>
      <c r="GA276" s="8" t="e">
        <f>SUM(FW276:FZ276)-FY276</f>
        <v>#REF!</v>
      </c>
      <c r="GB276" s="11" t="s">
        <v>210</v>
      </c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</row>
    <row r="277" spans="1:249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12"/>
      <c r="DD277" s="5"/>
      <c r="DE277" s="5"/>
      <c r="DF277" s="5"/>
      <c r="DG277" s="5"/>
      <c r="DH277" s="5"/>
      <c r="DI277" s="5"/>
      <c r="DJ277" s="5"/>
      <c r="DK277" s="140">
        <f>DN277/DR277</f>
        <v>6.9989832231825115</v>
      </c>
      <c r="DL277" s="140">
        <f>DN277/DP277</f>
        <v>2.2101460908653072</v>
      </c>
      <c r="DM277" s="140">
        <f>DP277/DR277</f>
        <v>3.1667513980681239</v>
      </c>
      <c r="DN277" s="8">
        <f>2875+DN332</f>
        <v>13767</v>
      </c>
      <c r="DO277" s="34">
        <f>2057+DN327</f>
        <v>6803</v>
      </c>
      <c r="DP277" s="34">
        <f>2262+DN323</f>
        <v>6229</v>
      </c>
      <c r="DQ277" s="34">
        <f>2458+DN318+715</f>
        <v>3885</v>
      </c>
      <c r="DR277" s="34">
        <v>1967</v>
      </c>
      <c r="DS277" s="11" t="s">
        <v>155</v>
      </c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8" t="e">
        <f>[3]STUDENTS!DV220</f>
        <v>#REF!</v>
      </c>
      <c r="FX277" s="8" t="e">
        <f>[3]STUDENTS!DW220</f>
        <v>#REF!</v>
      </c>
      <c r="FY277" s="8">
        <v>611</v>
      </c>
      <c r="FZ277" s="8">
        <v>1799</v>
      </c>
      <c r="GA277" s="8" t="e">
        <f>SUM(FW277:FZ277)-FY277</f>
        <v>#REF!</v>
      </c>
      <c r="GB277" s="11" t="s">
        <v>211</v>
      </c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</row>
    <row r="278" spans="1:249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12"/>
      <c r="DD278" s="5"/>
      <c r="DE278" s="5"/>
      <c r="DF278" s="5"/>
      <c r="DG278" s="5"/>
      <c r="DH278" s="5"/>
      <c r="DI278" s="5"/>
      <c r="DJ278" s="5"/>
      <c r="DK278" s="140">
        <f>DN278/DR278</f>
        <v>3.136744966442953</v>
      </c>
      <c r="DL278" s="140">
        <f>DN278/DP278</f>
        <v>1.4260106788710907</v>
      </c>
      <c r="DM278" s="140">
        <f>DP278/DR278</f>
        <v>2.1996644295302015</v>
      </c>
      <c r="DN278" s="8">
        <f>2085+DO332</f>
        <v>3739</v>
      </c>
      <c r="DO278" s="34">
        <f>1547+DO327</f>
        <v>2735</v>
      </c>
      <c r="DP278" s="34">
        <f>1597+DO322</f>
        <v>2622</v>
      </c>
      <c r="DQ278" s="34">
        <f>1566+DO318</f>
        <v>2382</v>
      </c>
      <c r="DR278" s="34">
        <v>1192</v>
      </c>
      <c r="DS278" s="11" t="s">
        <v>153</v>
      </c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8" t="e">
        <f>[3]STUDENTS!DV221</f>
        <v>#REF!</v>
      </c>
      <c r="FX278" s="8" t="e">
        <f>[3]STUDENTS!DW221</f>
        <v>#REF!</v>
      </c>
      <c r="FY278" s="8">
        <v>722</v>
      </c>
      <c r="FZ278" s="8">
        <v>2022</v>
      </c>
      <c r="GA278" s="8" t="e">
        <f>SUM(FW278:FZ278)-FY278</f>
        <v>#REF!</v>
      </c>
      <c r="GB278" s="11" t="s">
        <v>213</v>
      </c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</row>
    <row r="279" spans="1:249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12"/>
      <c r="DD279" s="5"/>
      <c r="DE279" s="5"/>
      <c r="DF279" s="5"/>
      <c r="DG279" s="5"/>
      <c r="DH279" s="5"/>
      <c r="DI279" s="5"/>
      <c r="DJ279" s="5"/>
      <c r="DK279" s="160" t="s">
        <v>141</v>
      </c>
      <c r="DL279" s="140">
        <f>DN279/DP279</f>
        <v>0.5955056179775281</v>
      </c>
      <c r="DM279" s="160" t="s">
        <v>141</v>
      </c>
      <c r="DN279" s="8">
        <v>53</v>
      </c>
      <c r="DO279" s="34">
        <v>256</v>
      </c>
      <c r="DP279" s="34">
        <v>89</v>
      </c>
      <c r="DQ279" s="34">
        <v>57</v>
      </c>
      <c r="DR279" s="34" t="s">
        <v>173</v>
      </c>
      <c r="DS279" s="11" t="s">
        <v>151</v>
      </c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8"/>
      <c r="FX279" s="8"/>
      <c r="FY279" s="8"/>
      <c r="FZ279" s="8"/>
      <c r="GA279" s="8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</row>
    <row r="280" spans="1:249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12"/>
      <c r="DD280" s="5"/>
      <c r="DE280" s="5"/>
      <c r="DF280" s="5"/>
      <c r="DG280" s="5"/>
      <c r="DH280" s="5"/>
      <c r="DI280" s="5"/>
      <c r="DJ280" s="5"/>
      <c r="DK280" s="140"/>
      <c r="DL280" s="140"/>
      <c r="DM280" s="140"/>
      <c r="DN280" s="8"/>
      <c r="DO280" s="34"/>
      <c r="DP280" s="34"/>
      <c r="DQ280" s="34"/>
      <c r="DR280" s="34"/>
      <c r="DS280" s="8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8" t="e">
        <f>[3]STUDENTS!DV223</f>
        <v>#REF!</v>
      </c>
      <c r="FX280" s="8" t="e">
        <f>[3]STUDENTS!DW223</f>
        <v>#REF!</v>
      </c>
      <c r="FY280" s="8">
        <v>2126</v>
      </c>
      <c r="FZ280" s="8" t="e">
        <f>[3]STUDENTS!DX223</f>
        <v>#REF!</v>
      </c>
      <c r="GA280" s="8" t="e">
        <f>SUM(FW280:FZ280)-FY280</f>
        <v>#REF!</v>
      </c>
      <c r="GB280" s="11" t="s">
        <v>216</v>
      </c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</row>
    <row r="281" spans="1:249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12"/>
      <c r="DD281" s="5"/>
      <c r="DE281" s="5"/>
      <c r="DF281" s="5"/>
      <c r="DG281" s="5"/>
      <c r="DH281" s="5"/>
      <c r="DI281" s="5"/>
      <c r="DJ281" s="5"/>
      <c r="DK281" s="140" t="e">
        <f>DN281/DR281</f>
        <v>#REF!</v>
      </c>
      <c r="DL281" s="140" t="e">
        <f>DN281/DP281</f>
        <v>#REF!</v>
      </c>
      <c r="DM281" s="140">
        <f>DP281/DR281</f>
        <v>1.2346073246183016</v>
      </c>
      <c r="DN281" s="34" t="e">
        <f>DN283+DN284</f>
        <v>#REF!</v>
      </c>
      <c r="DO281" s="34">
        <f>DO283+DO284</f>
        <v>15776</v>
      </c>
      <c r="DP281" s="34">
        <f>DP283+DP284</f>
        <v>12372</v>
      </c>
      <c r="DQ281" s="34">
        <f>DQ283+DQ284</f>
        <v>11992</v>
      </c>
      <c r="DR281" s="34">
        <f>DR283+DR284</f>
        <v>10021</v>
      </c>
      <c r="DS281" s="11" t="s">
        <v>166</v>
      </c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8">
        <v>36</v>
      </c>
      <c r="FX281" s="8">
        <v>606</v>
      </c>
      <c r="FY281" s="8">
        <v>445</v>
      </c>
      <c r="FZ281" s="8">
        <v>1489</v>
      </c>
      <c r="GA281" s="8">
        <f>FZ281+FX281+FW281</f>
        <v>2131</v>
      </c>
      <c r="GB281" s="6" t="s">
        <v>310</v>
      </c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</row>
    <row r="282" spans="1:249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12"/>
      <c r="DD282" s="5"/>
      <c r="DE282" s="5"/>
      <c r="DF282" s="5"/>
      <c r="DG282" s="5"/>
      <c r="DH282" s="5"/>
      <c r="DI282" s="5"/>
      <c r="DJ282" s="5"/>
      <c r="DK282" s="140"/>
      <c r="DL282" s="140"/>
      <c r="DM282" s="140"/>
      <c r="DN282" s="8"/>
      <c r="DO282" s="34"/>
      <c r="DP282" s="34"/>
      <c r="DQ282" s="34"/>
      <c r="DR282" s="34"/>
      <c r="DS282" s="8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8"/>
      <c r="FX282" s="8"/>
      <c r="FY282" s="8"/>
      <c r="FZ282" s="8"/>
      <c r="GA282" s="8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</row>
    <row r="283" spans="1:249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12"/>
      <c r="DD283" s="5"/>
      <c r="DE283" s="5"/>
      <c r="DF283" s="5"/>
      <c r="DG283" s="5"/>
      <c r="DH283" s="5"/>
      <c r="DI283" s="5"/>
      <c r="DJ283" s="5"/>
      <c r="DK283" s="140" t="e">
        <f>DN283/DR283</f>
        <v>#REF!</v>
      </c>
      <c r="DL283" s="140" t="e">
        <f>DN283/DP283</f>
        <v>#REF!</v>
      </c>
      <c r="DM283" s="140">
        <f>DP283/DR283</f>
        <v>1.1043034281546316</v>
      </c>
      <c r="DN283" s="8" t="e">
        <f>15966+DP332-[3]STUDENTS!EX300</f>
        <v>#REF!</v>
      </c>
      <c r="DO283" s="34">
        <f>12622+DP327-'[2]T308-317'!HM29</f>
        <v>14499</v>
      </c>
      <c r="DP283" s="34">
        <f>10379+DP322</f>
        <v>10598</v>
      </c>
      <c r="DQ283" s="34">
        <f>10386+DP318</f>
        <v>10486</v>
      </c>
      <c r="DR283" s="34">
        <v>9597</v>
      </c>
      <c r="DS283" s="11" t="s">
        <v>164</v>
      </c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8"/>
      <c r="FX283" s="8"/>
      <c r="FY283" s="8"/>
      <c r="FZ283" s="8"/>
      <c r="GA283" s="8"/>
      <c r="GB283" s="6" t="s">
        <v>311</v>
      </c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</row>
    <row r="284" spans="1:249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12"/>
      <c r="DD284" s="5"/>
      <c r="DE284" s="5"/>
      <c r="DF284" s="5"/>
      <c r="DG284" s="5"/>
      <c r="DH284" s="5"/>
      <c r="DI284" s="5"/>
      <c r="DJ284" s="5"/>
      <c r="DK284" s="140" t="e">
        <f>DN284/DR284</f>
        <v>#REF!</v>
      </c>
      <c r="DL284" s="140" t="e">
        <f>DN284/DP284</f>
        <v>#REF!</v>
      </c>
      <c r="DM284" s="140">
        <f>DP284/DR284</f>
        <v>4.1839622641509431</v>
      </c>
      <c r="DN284" s="8" t="e">
        <f>2129+SUM([3]STUDENTS!EX301:EX303)</f>
        <v>#REF!</v>
      </c>
      <c r="DO284" s="34">
        <f>1277+'[2]T308-317'!HM29</f>
        <v>1277</v>
      </c>
      <c r="DP284" s="34">
        <v>1774</v>
      </c>
      <c r="DQ284" s="34">
        <v>1506</v>
      </c>
      <c r="DR284" s="34">
        <v>424</v>
      </c>
      <c r="DS284" s="11" t="s">
        <v>162</v>
      </c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11" t="s">
        <v>124</v>
      </c>
      <c r="FX284" s="11" t="s">
        <v>124</v>
      </c>
      <c r="FY284" s="8">
        <f>'[2]T308-317'!GX60</f>
        <v>2718</v>
      </c>
      <c r="FZ284" s="8">
        <v>1279</v>
      </c>
      <c r="GA284" s="8">
        <f>FZ284</f>
        <v>1279</v>
      </c>
      <c r="GB284" s="6" t="s">
        <v>72</v>
      </c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</row>
    <row r="285" spans="1:249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12"/>
      <c r="DD285" s="5"/>
      <c r="DE285" s="5"/>
      <c r="DF285" s="5"/>
      <c r="DG285" s="5"/>
      <c r="DH285" s="5"/>
      <c r="DI285" s="5"/>
      <c r="DJ285" s="5"/>
      <c r="DK285" s="140"/>
      <c r="DL285" s="140"/>
      <c r="DM285" s="140"/>
      <c r="DN285" s="8"/>
      <c r="DO285" s="34"/>
      <c r="DP285" s="34"/>
      <c r="DQ285" s="34"/>
      <c r="DR285" s="34"/>
      <c r="DS285" s="8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6" t="s">
        <v>32</v>
      </c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</row>
    <row r="286" spans="1:249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12"/>
      <c r="DD286" s="5"/>
      <c r="DE286" s="5"/>
      <c r="DF286" s="5"/>
      <c r="DG286" s="5"/>
      <c r="DH286" s="5"/>
      <c r="DI286" s="5"/>
      <c r="DJ286" s="5"/>
      <c r="DK286" s="140">
        <f>DN286/DR286</f>
        <v>3.1505911636589921</v>
      </c>
      <c r="DL286" s="140">
        <f>DN286/DP286</f>
        <v>2.0758507585075852</v>
      </c>
      <c r="DM286" s="140">
        <f>DP286/DR286</f>
        <v>1.5177349097697572</v>
      </c>
      <c r="DN286" s="8">
        <f>4115+DM332</f>
        <v>5063</v>
      </c>
      <c r="DO286" s="34">
        <v>2086</v>
      </c>
      <c r="DP286" s="34">
        <v>2439</v>
      </c>
      <c r="DQ286" s="34">
        <v>1839</v>
      </c>
      <c r="DR286" s="34">
        <v>1607</v>
      </c>
      <c r="DS286" s="11" t="s">
        <v>172</v>
      </c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6" t="s">
        <v>124</v>
      </c>
      <c r="FX286" s="6" t="s">
        <v>124</v>
      </c>
      <c r="FY286" s="73">
        <f>63+97</f>
        <v>160</v>
      </c>
      <c r="FZ286" s="73">
        <f>160+97</f>
        <v>257</v>
      </c>
      <c r="GA286" s="73">
        <f>FZ286</f>
        <v>257</v>
      </c>
      <c r="GB286" s="6" t="s">
        <v>312</v>
      </c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</row>
    <row r="287" spans="1:249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12"/>
      <c r="DD287" s="5"/>
      <c r="DE287" s="5"/>
      <c r="DF287" s="5"/>
      <c r="DG287" s="5"/>
      <c r="DH287" s="5"/>
      <c r="DI287" s="5"/>
      <c r="DJ287" s="5"/>
      <c r="DK287" s="140"/>
      <c r="DL287" s="140"/>
      <c r="DM287" s="140"/>
      <c r="DN287" s="8"/>
      <c r="DO287" s="34"/>
      <c r="DP287" s="34"/>
      <c r="DQ287" s="34"/>
      <c r="DR287" s="34"/>
      <c r="DS287" s="8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6" t="s">
        <v>124</v>
      </c>
      <c r="FX287" s="6" t="s">
        <v>124</v>
      </c>
      <c r="FY287" s="73">
        <v>11</v>
      </c>
      <c r="FZ287" s="73">
        <v>62</v>
      </c>
      <c r="GA287" s="73">
        <f>FZ287</f>
        <v>62</v>
      </c>
      <c r="GB287" s="6" t="s">
        <v>313</v>
      </c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</row>
    <row r="288" spans="1:249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12"/>
      <c r="DD288" s="5"/>
      <c r="DE288" s="5"/>
      <c r="DF288" s="5"/>
      <c r="DG288" s="5"/>
      <c r="DH288" s="5"/>
      <c r="DI288" s="5"/>
      <c r="DJ288" s="5"/>
      <c r="DK288" s="140">
        <f>DN288/DR288</f>
        <v>2.7081490840176881</v>
      </c>
      <c r="DL288" s="140">
        <f>DN288/DP288</f>
        <v>1.610443275732532</v>
      </c>
      <c r="DM288" s="140">
        <f>DP288/DR288</f>
        <v>1.6816171825647506</v>
      </c>
      <c r="DN288" s="34">
        <f>DN290+DN291</f>
        <v>4287</v>
      </c>
      <c r="DO288" s="34">
        <v>3086</v>
      </c>
      <c r="DP288" s="34">
        <v>2662</v>
      </c>
      <c r="DQ288" s="34">
        <v>1996</v>
      </c>
      <c r="DR288" s="34">
        <v>1583</v>
      </c>
      <c r="DS288" s="11" t="s">
        <v>179</v>
      </c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6" t="s">
        <v>124</v>
      </c>
      <c r="FX288" s="6" t="s">
        <v>124</v>
      </c>
      <c r="FY288" s="8">
        <f>28+25+52+26+49</f>
        <v>180</v>
      </c>
      <c r="FZ288" s="8">
        <f>81+96+140+99+38</f>
        <v>454</v>
      </c>
      <c r="GA288" s="73">
        <f>FZ288</f>
        <v>454</v>
      </c>
      <c r="GB288" s="11" t="s">
        <v>314</v>
      </c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</row>
    <row r="289" spans="1:249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12"/>
      <c r="DD289" s="5"/>
      <c r="DE289" s="5"/>
      <c r="DF289" s="5"/>
      <c r="DG289" s="5"/>
      <c r="DH289" s="5"/>
      <c r="DI289" s="5"/>
      <c r="DJ289" s="5"/>
      <c r="DK289" s="140"/>
      <c r="DL289" s="140"/>
      <c r="DM289" s="140"/>
      <c r="DN289" s="8"/>
      <c r="DO289" s="34"/>
      <c r="DP289" s="34"/>
      <c r="DQ289" s="34"/>
      <c r="DR289" s="34"/>
      <c r="DS289" s="8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8"/>
      <c r="FX289" s="8"/>
      <c r="FY289" s="8"/>
      <c r="FZ289" s="8"/>
      <c r="GA289" s="8"/>
      <c r="GB289" s="8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</row>
    <row r="290" spans="1:249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12"/>
      <c r="DD290" s="5"/>
      <c r="DE290" s="5"/>
      <c r="DF290" s="5"/>
      <c r="DG290" s="5"/>
      <c r="DH290" s="5"/>
      <c r="DI290" s="5"/>
      <c r="DJ290" s="5"/>
      <c r="DK290" s="140">
        <f>DN290/DR290</f>
        <v>1.0268398268398269</v>
      </c>
      <c r="DL290" s="140">
        <f>DN290/DP290</f>
        <v>0.89105935386927126</v>
      </c>
      <c r="DM290" s="140">
        <f>DP290/DR290</f>
        <v>1.1523809523809523</v>
      </c>
      <c r="DN290" s="8">
        <v>1186</v>
      </c>
      <c r="DO290" s="34">
        <v>1112</v>
      </c>
      <c r="DP290" s="34">
        <v>1331</v>
      </c>
      <c r="DQ290" s="34">
        <v>1248</v>
      </c>
      <c r="DR290" s="34">
        <v>1155</v>
      </c>
      <c r="DS290" s="11" t="s">
        <v>185</v>
      </c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8"/>
      <c r="FX290" s="8"/>
      <c r="FY290" s="8"/>
      <c r="FZ290" s="8"/>
      <c r="GA290" s="8"/>
      <c r="GB290" s="11" t="s">
        <v>315</v>
      </c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</row>
    <row r="291" spans="1:249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12"/>
      <c r="DD291" s="5"/>
      <c r="DE291" s="5"/>
      <c r="DF291" s="5"/>
      <c r="DG291" s="5"/>
      <c r="DH291" s="5"/>
      <c r="DI291" s="5"/>
      <c r="DJ291" s="5"/>
      <c r="DK291" s="140">
        <f>DN291/DR291</f>
        <v>7.228438228438228</v>
      </c>
      <c r="DL291" s="140">
        <f>DN291/DP291</f>
        <v>2.3298271975957925</v>
      </c>
      <c r="DM291" s="140">
        <f>DP291/DR291</f>
        <v>3.1025641025641026</v>
      </c>
      <c r="DN291" s="8">
        <v>3101</v>
      </c>
      <c r="DO291" s="34">
        <v>1974</v>
      </c>
      <c r="DP291" s="34">
        <v>1331</v>
      </c>
      <c r="DQ291" s="34">
        <v>748</v>
      </c>
      <c r="DR291" s="34">
        <v>429</v>
      </c>
      <c r="DS291" s="11" t="s">
        <v>189</v>
      </c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8"/>
      <c r="FX291" s="8"/>
      <c r="FY291" s="8"/>
      <c r="FZ291" s="8"/>
      <c r="GA291" s="8"/>
      <c r="GB291" s="8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</row>
    <row r="292" spans="1:249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12"/>
      <c r="DD292" s="5"/>
      <c r="DE292" s="5"/>
      <c r="DF292" s="5"/>
      <c r="DG292" s="5"/>
      <c r="DH292" s="5"/>
      <c r="DI292" s="5"/>
      <c r="DJ292" s="5"/>
      <c r="DK292" s="140"/>
      <c r="DL292" s="140"/>
      <c r="DM292" s="140"/>
      <c r="DN292" s="8"/>
      <c r="DO292" s="34"/>
      <c r="DP292" s="34"/>
      <c r="DQ292" s="34"/>
      <c r="DR292" s="34"/>
      <c r="DS292" s="8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8"/>
      <c r="FX292" s="8"/>
      <c r="FY292" s="8"/>
      <c r="FZ292" s="8"/>
      <c r="GA292" s="8"/>
      <c r="GB292" s="11" t="s">
        <v>316</v>
      </c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</row>
    <row r="293" spans="1:249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12"/>
      <c r="DD293" s="5"/>
      <c r="DE293" s="5"/>
      <c r="DF293" s="5"/>
      <c r="DG293" s="5"/>
      <c r="DH293" s="5"/>
      <c r="DI293" s="5"/>
      <c r="DJ293" s="5"/>
      <c r="DK293" s="140">
        <f>DN293/DR293</f>
        <v>2.14396628216504</v>
      </c>
      <c r="DL293" s="140">
        <f>DN293/DP293</f>
        <v>1.513466958972753</v>
      </c>
      <c r="DM293" s="140">
        <f>DP293/DR293</f>
        <v>1.4165927240461402</v>
      </c>
      <c r="DN293" s="34">
        <f>DN295+DN296+DN297</f>
        <v>9665</v>
      </c>
      <c r="DO293" s="34">
        <v>6461</v>
      </c>
      <c r="DP293" s="34">
        <v>6386</v>
      </c>
      <c r="DQ293" s="34">
        <v>4750</v>
      </c>
      <c r="DR293" s="34">
        <v>4508</v>
      </c>
      <c r="DS293" s="11" t="s">
        <v>207</v>
      </c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11" t="s">
        <v>317</v>
      </c>
      <c r="FX293" s="5"/>
      <c r="FY293" s="8"/>
      <c r="FZ293" s="8"/>
      <c r="GA293" s="8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</row>
    <row r="294" spans="1:249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12"/>
      <c r="DD294" s="5"/>
      <c r="DE294" s="5"/>
      <c r="DF294" s="5"/>
      <c r="DG294" s="5"/>
      <c r="DH294" s="5"/>
      <c r="DI294" s="5"/>
      <c r="DJ294" s="5"/>
      <c r="DK294" s="140"/>
      <c r="DL294" s="140"/>
      <c r="DM294" s="140"/>
      <c r="DN294" s="8"/>
      <c r="DO294" s="34"/>
      <c r="DP294" s="34"/>
      <c r="DQ294" s="34"/>
      <c r="DR294" s="34"/>
      <c r="DS294" s="8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8"/>
      <c r="FX294" s="8"/>
      <c r="FY294" s="8"/>
      <c r="FZ294" s="8"/>
      <c r="GA294" s="8"/>
      <c r="GB294" s="8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</row>
    <row r="295" spans="1:249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12"/>
      <c r="DD295" s="5"/>
      <c r="DE295" s="5"/>
      <c r="DF295" s="5"/>
      <c r="DG295" s="5"/>
      <c r="DH295" s="5"/>
      <c r="DI295" s="5"/>
      <c r="DJ295" s="5"/>
      <c r="DK295" s="140">
        <f>DN295/DR295</f>
        <v>2.6455409687641467</v>
      </c>
      <c r="DL295" s="140">
        <f>DN295/DP295</f>
        <v>1.5322496067121132</v>
      </c>
      <c r="DM295" s="140">
        <f>DP295/DR295</f>
        <v>1.726573110004527</v>
      </c>
      <c r="DN295" s="8">
        <v>5844</v>
      </c>
      <c r="DO295" s="34">
        <v>2927</v>
      </c>
      <c r="DP295" s="34">
        <v>3814</v>
      </c>
      <c r="DQ295" s="34">
        <v>2490</v>
      </c>
      <c r="DR295" s="34">
        <v>2209</v>
      </c>
      <c r="DS295" s="11" t="s">
        <v>210</v>
      </c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8"/>
      <c r="FX295" s="8"/>
      <c r="FY295" s="8"/>
      <c r="FZ295" s="8"/>
      <c r="GA295" s="8"/>
      <c r="GB295" s="11" t="s">
        <v>318</v>
      </c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</row>
    <row r="296" spans="1:249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12"/>
      <c r="DD296" s="5"/>
      <c r="DE296" s="5"/>
      <c r="DF296" s="5"/>
      <c r="DG296" s="5"/>
      <c r="DH296" s="5"/>
      <c r="DI296" s="5"/>
      <c r="DJ296" s="5"/>
      <c r="DK296" s="140">
        <f>DN296/DR296</f>
        <v>1.6590073529411764</v>
      </c>
      <c r="DL296" s="140">
        <f>DN296/DP296</f>
        <v>1.5654813529921943</v>
      </c>
      <c r="DM296" s="140">
        <f>DP296/DR296</f>
        <v>1.0597426470588236</v>
      </c>
      <c r="DN296" s="8">
        <v>1805</v>
      </c>
      <c r="DO296" s="34">
        <v>1976</v>
      </c>
      <c r="DP296" s="34">
        <v>1153</v>
      </c>
      <c r="DQ296" s="34">
        <v>997</v>
      </c>
      <c r="DR296" s="34">
        <v>1088</v>
      </c>
      <c r="DS296" s="11" t="s">
        <v>211</v>
      </c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8"/>
      <c r="FX296" s="8"/>
      <c r="FY296" s="8"/>
      <c r="FZ296" s="5"/>
      <c r="GA296" s="11" t="s">
        <v>319</v>
      </c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</row>
    <row r="297" spans="1:249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12"/>
      <c r="DD297" s="5"/>
      <c r="DE297" s="5"/>
      <c r="DF297" s="5"/>
      <c r="DG297" s="5"/>
      <c r="DH297" s="5"/>
      <c r="DI297" s="5"/>
      <c r="DJ297" s="5"/>
      <c r="DK297" s="140">
        <f>DN297/DR297</f>
        <v>1.6647398843930636</v>
      </c>
      <c r="DL297" s="140">
        <f>DN297/DP297</f>
        <v>1.4207188160676534</v>
      </c>
      <c r="DM297" s="140">
        <f>DP297/DR297</f>
        <v>1.1717588769611891</v>
      </c>
      <c r="DN297" s="8">
        <v>2016</v>
      </c>
      <c r="DO297" s="34">
        <v>1558</v>
      </c>
      <c r="DP297" s="34">
        <v>1419</v>
      </c>
      <c r="DQ297" s="34">
        <v>1263</v>
      </c>
      <c r="DR297" s="34">
        <v>1211</v>
      </c>
      <c r="DS297" s="11" t="s">
        <v>213</v>
      </c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</row>
    <row r="298" spans="1:249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12"/>
      <c r="DD298" s="5"/>
      <c r="DE298" s="5"/>
      <c r="DF298" s="5"/>
      <c r="DG298" s="5"/>
      <c r="DH298" s="5"/>
      <c r="DI298" s="5"/>
      <c r="DJ298" s="5"/>
      <c r="DK298" s="140"/>
      <c r="DL298" s="140"/>
      <c r="DM298" s="140"/>
      <c r="DN298" s="8"/>
      <c r="DO298" s="34"/>
      <c r="DP298" s="34"/>
      <c r="DQ298" s="34"/>
      <c r="DR298" s="34"/>
      <c r="DS298" s="8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11" t="s">
        <v>320</v>
      </c>
      <c r="FX298" s="5"/>
      <c r="FY298" s="5"/>
      <c r="FZ298" s="8"/>
      <c r="GA298" s="8"/>
      <c r="GB298" s="8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</row>
    <row r="299" spans="1:249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12"/>
      <c r="DD299" s="5"/>
      <c r="DE299" s="5"/>
      <c r="DF299" s="5"/>
      <c r="DG299" s="5"/>
      <c r="DH299" s="5"/>
      <c r="DI299" s="5"/>
      <c r="DJ299" s="5"/>
      <c r="DK299" s="140">
        <f>DN299/DR299</f>
        <v>1.0568654646324549</v>
      </c>
      <c r="DL299" s="140">
        <f>DN299/DP299</f>
        <v>1.0106100795755968</v>
      </c>
      <c r="DM299" s="140">
        <f>DP299/DR299</f>
        <v>1.0457697642163661</v>
      </c>
      <c r="DN299" s="8">
        <v>762</v>
      </c>
      <c r="DO299" s="34">
        <v>751</v>
      </c>
      <c r="DP299" s="34">
        <v>754</v>
      </c>
      <c r="DQ299" s="34">
        <v>1140</v>
      </c>
      <c r="DR299" s="34">
        <v>721</v>
      </c>
      <c r="DS299" s="11" t="s">
        <v>217</v>
      </c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8"/>
      <c r="FZ299" s="8"/>
      <c r="GA299" s="8"/>
      <c r="GB299" s="8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</row>
    <row r="300" spans="1:249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12"/>
      <c r="DD300" s="5"/>
      <c r="DE300" s="5"/>
      <c r="DF300" s="5"/>
      <c r="DG300" s="5"/>
      <c r="DH300" s="5"/>
      <c r="DI300" s="5"/>
      <c r="DJ300" s="5"/>
      <c r="DK300" s="140"/>
      <c r="DL300" s="140"/>
      <c r="DM300" s="140"/>
      <c r="DN300" s="8"/>
      <c r="DO300" s="34"/>
      <c r="DP300" s="34"/>
      <c r="DQ300" s="34"/>
      <c r="DR300" s="34"/>
      <c r="DS300" s="8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11" t="s">
        <v>321</v>
      </c>
      <c r="FZ300" s="8"/>
      <c r="GA300" s="8"/>
      <c r="GB300" s="8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</row>
    <row r="301" spans="1:249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12"/>
      <c r="DD301" s="5"/>
      <c r="DE301" s="5"/>
      <c r="DF301" s="5"/>
      <c r="DG301" s="5"/>
      <c r="DH301" s="5"/>
      <c r="DI301" s="5"/>
      <c r="DJ301" s="5"/>
      <c r="DK301" s="140">
        <f>DN301/DR301</f>
        <v>1.6010265982267848</v>
      </c>
      <c r="DL301" s="140">
        <f>DN301/DP301</f>
        <v>1.4096138044371405</v>
      </c>
      <c r="DM301" s="140">
        <f>DP301/DR301</f>
        <v>1.1357909472701819</v>
      </c>
      <c r="DN301" s="8">
        <f>9014+DQ332</f>
        <v>10293</v>
      </c>
      <c r="DO301" s="34">
        <f>7645+DQ327</f>
        <v>8120</v>
      </c>
      <c r="DP301" s="34">
        <f>6698+DQ322</f>
        <v>7302</v>
      </c>
      <c r="DQ301" s="34">
        <f>DQ318+6329</f>
        <v>6734</v>
      </c>
      <c r="DR301" s="34">
        <v>6429</v>
      </c>
      <c r="DS301" s="11" t="s">
        <v>216</v>
      </c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8"/>
      <c r="FX301" s="11" t="s">
        <v>322</v>
      </c>
      <c r="FY301" s="8"/>
      <c r="FZ301" s="8"/>
      <c r="GA301" s="8"/>
      <c r="GB301" s="8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</row>
    <row r="302" spans="1:249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12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8"/>
      <c r="GA302" s="8"/>
      <c r="GB302" s="8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</row>
    <row r="303" spans="1:249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12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8"/>
      <c r="FX303" s="8"/>
      <c r="FY303" s="8"/>
      <c r="FZ303" s="8"/>
      <c r="GA303" s="8"/>
      <c r="GB303" s="8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</row>
    <row r="304" spans="1:249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12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</row>
    <row r="305" spans="1:249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12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</row>
    <row r="306" spans="1:249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12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</row>
    <row r="307" spans="1:249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12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</row>
    <row r="308" spans="1:249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12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</row>
    <row r="309" spans="1:249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12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6" t="s">
        <v>323</v>
      </c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</row>
    <row r="310" spans="1:249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12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6" t="s">
        <v>324</v>
      </c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</row>
    <row r="311" spans="1:249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12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6" t="s">
        <v>325</v>
      </c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</row>
    <row r="312" spans="1:249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12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6" t="s">
        <v>326</v>
      </c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</row>
    <row r="313" spans="1:249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12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</row>
    <row r="314" spans="1:249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12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6" t="s">
        <v>48</v>
      </c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</row>
    <row r="315" spans="1:249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12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6" t="s">
        <v>327</v>
      </c>
      <c r="DP315" s="19" t="s">
        <v>328</v>
      </c>
      <c r="DQ315" s="19" t="s">
        <v>329</v>
      </c>
      <c r="DR315" s="18"/>
      <c r="DS315" s="18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</row>
    <row r="316" spans="1:249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12"/>
      <c r="DD316" s="5"/>
      <c r="DE316" s="5"/>
      <c r="DF316" s="5"/>
      <c r="DG316" s="5"/>
      <c r="DH316" s="5"/>
      <c r="DI316" s="5"/>
      <c r="DJ316" s="5"/>
      <c r="DK316" s="5"/>
      <c r="DL316" s="5"/>
      <c r="DM316" s="6" t="s">
        <v>172</v>
      </c>
      <c r="DN316" s="19" t="s">
        <v>330</v>
      </c>
      <c r="DO316" s="19" t="s">
        <v>331</v>
      </c>
      <c r="DP316" s="19" t="s">
        <v>332</v>
      </c>
      <c r="DQ316" s="19" t="s">
        <v>333</v>
      </c>
      <c r="DR316" s="19" t="s">
        <v>72</v>
      </c>
      <c r="DS316" s="18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</row>
    <row r="317" spans="1:249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12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18"/>
      <c r="DO317" s="18"/>
      <c r="DP317" s="18"/>
      <c r="DQ317" s="18"/>
      <c r="DR317" s="18"/>
      <c r="DS317" s="18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</row>
    <row r="318" spans="1:249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12"/>
      <c r="DD318" s="5"/>
      <c r="DE318" s="5"/>
      <c r="DF318" s="5"/>
      <c r="DG318" s="5"/>
      <c r="DH318" s="5"/>
      <c r="DI318" s="5"/>
      <c r="DJ318" s="5"/>
      <c r="DK318" s="5"/>
      <c r="DL318" s="5"/>
      <c r="DM318" s="6" t="s">
        <v>124</v>
      </c>
      <c r="DN318" s="34">
        <v>712</v>
      </c>
      <c r="DO318" s="34">
        <v>816</v>
      </c>
      <c r="DP318" s="34">
        <v>100</v>
      </c>
      <c r="DQ318" s="34">
        <v>405</v>
      </c>
      <c r="DR318" s="34">
        <v>2033</v>
      </c>
      <c r="DS318" s="19" t="s">
        <v>142</v>
      </c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</row>
    <row r="319" spans="1:249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12"/>
      <c r="DD319" s="5"/>
      <c r="DE319" s="5"/>
      <c r="DF319" s="5"/>
      <c r="DG319" s="5"/>
      <c r="DH319" s="5"/>
      <c r="DI319" s="5"/>
      <c r="DJ319" s="5"/>
      <c r="DK319" s="5"/>
      <c r="DL319" s="5"/>
      <c r="DM319" s="6" t="s">
        <v>124</v>
      </c>
      <c r="DN319" s="34">
        <v>732</v>
      </c>
      <c r="DO319" s="34">
        <v>766</v>
      </c>
      <c r="DP319" s="34">
        <v>122</v>
      </c>
      <c r="DQ319" s="34">
        <v>407</v>
      </c>
      <c r="DR319" s="34">
        <v>2027</v>
      </c>
      <c r="DS319" s="19" t="s">
        <v>160</v>
      </c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</row>
    <row r="320" spans="1:249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12"/>
      <c r="DD320" s="5"/>
      <c r="DE320" s="5"/>
      <c r="DF320" s="5"/>
      <c r="DG320" s="5"/>
      <c r="DH320" s="5"/>
      <c r="DI320" s="5"/>
      <c r="DJ320" s="5"/>
      <c r="DK320" s="5"/>
      <c r="DL320" s="5"/>
      <c r="DM320" s="6" t="s">
        <v>124</v>
      </c>
      <c r="DN320" s="34">
        <v>702</v>
      </c>
      <c r="DO320" s="34">
        <v>952</v>
      </c>
      <c r="DP320" s="34">
        <v>127</v>
      </c>
      <c r="DQ320" s="34">
        <v>439</v>
      </c>
      <c r="DR320" s="34">
        <v>2220</v>
      </c>
      <c r="DS320" s="19" t="s">
        <v>167</v>
      </c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6" t="s">
        <v>302</v>
      </c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</row>
    <row r="321" spans="1:249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12"/>
      <c r="DD321" s="5"/>
      <c r="DE321" s="5"/>
      <c r="DF321" s="5"/>
      <c r="DG321" s="5"/>
      <c r="DH321" s="5"/>
      <c r="DI321" s="5"/>
      <c r="DJ321" s="5"/>
      <c r="DK321" s="5"/>
      <c r="DL321" s="5"/>
      <c r="DM321" s="6" t="s">
        <v>124</v>
      </c>
      <c r="DN321" s="34">
        <v>861</v>
      </c>
      <c r="DO321" s="34">
        <v>921</v>
      </c>
      <c r="DP321" s="34">
        <v>177</v>
      </c>
      <c r="DQ321" s="34">
        <v>523</v>
      </c>
      <c r="DR321" s="34">
        <v>2482</v>
      </c>
      <c r="DS321" s="19" t="s">
        <v>171</v>
      </c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6" t="s">
        <v>7</v>
      </c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</row>
    <row r="322" spans="1:249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12"/>
      <c r="DD322" s="5"/>
      <c r="DE322" s="5"/>
      <c r="DF322" s="5"/>
      <c r="DG322" s="5"/>
      <c r="DH322" s="5"/>
      <c r="DI322" s="5"/>
      <c r="DJ322" s="5"/>
      <c r="DK322" s="5"/>
      <c r="DL322" s="5"/>
      <c r="DM322" s="6" t="s">
        <v>124</v>
      </c>
      <c r="DN322" s="34">
        <v>1033</v>
      </c>
      <c r="DO322" s="34">
        <v>1025</v>
      </c>
      <c r="DP322" s="34">
        <v>219</v>
      </c>
      <c r="DQ322" s="34">
        <v>604</v>
      </c>
      <c r="DR322" s="34">
        <v>2881</v>
      </c>
      <c r="DS322" s="19" t="s">
        <v>45</v>
      </c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6" t="s">
        <v>15</v>
      </c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</row>
    <row r="323" spans="1:249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12"/>
      <c r="DD323" s="5"/>
      <c r="DE323" s="5"/>
      <c r="DF323" s="5"/>
      <c r="DG323" s="5"/>
      <c r="DH323" s="5"/>
      <c r="DI323" s="5"/>
      <c r="DJ323" s="5"/>
      <c r="DK323" s="5"/>
      <c r="DL323" s="5"/>
      <c r="DM323" s="6" t="s">
        <v>124</v>
      </c>
      <c r="DN323" s="34">
        <v>3967</v>
      </c>
      <c r="DO323" s="34">
        <v>991</v>
      </c>
      <c r="DP323" s="34">
        <v>216</v>
      </c>
      <c r="DQ323" s="34">
        <v>702</v>
      </c>
      <c r="DR323" s="34">
        <v>5876</v>
      </c>
      <c r="DS323" s="19" t="s">
        <v>44</v>
      </c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155"/>
      <c r="FX323" s="155"/>
      <c r="FY323" s="156" t="s">
        <v>30</v>
      </c>
      <c r="FZ323" s="156" t="s">
        <v>31</v>
      </c>
      <c r="GA323" s="15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</row>
    <row r="324" spans="1:249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12"/>
      <c r="DD324" s="5"/>
      <c r="DE324" s="5"/>
      <c r="DF324" s="5"/>
      <c r="DG324" s="5"/>
      <c r="DH324" s="5"/>
      <c r="DI324" s="5"/>
      <c r="DJ324" s="5"/>
      <c r="DK324" s="5"/>
      <c r="DL324" s="5"/>
      <c r="DM324" s="6" t="s">
        <v>124</v>
      </c>
      <c r="DN324" s="34">
        <v>4058</v>
      </c>
      <c r="DO324" s="34">
        <v>972</v>
      </c>
      <c r="DP324" s="34">
        <v>216</v>
      </c>
      <c r="DQ324" s="34">
        <v>691</v>
      </c>
      <c r="DR324" s="34">
        <v>5937</v>
      </c>
      <c r="DS324" s="19" t="s">
        <v>43</v>
      </c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155"/>
      <c r="FZ324" s="15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</row>
    <row r="325" spans="1:249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12"/>
      <c r="DD325" s="5"/>
      <c r="DE325" s="5"/>
      <c r="DF325" s="5"/>
      <c r="DG325" s="5"/>
      <c r="DH325" s="5"/>
      <c r="DI325" s="5"/>
      <c r="DJ325" s="5"/>
      <c r="DK325" s="5"/>
      <c r="DL325" s="5"/>
      <c r="DM325" s="6" t="s">
        <v>124</v>
      </c>
      <c r="DN325" s="34">
        <f>4979+164</f>
        <v>5143</v>
      </c>
      <c r="DO325" s="34">
        <v>1018</v>
      </c>
      <c r="DP325" s="34">
        <v>928</v>
      </c>
      <c r="DQ325" s="34">
        <v>702</v>
      </c>
      <c r="DR325" s="8">
        <f>SUM(DN325:DQ325)</f>
        <v>7791</v>
      </c>
      <c r="DS325" s="19" t="s">
        <v>334</v>
      </c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6" t="s">
        <v>31</v>
      </c>
      <c r="FX325" s="6" t="s">
        <v>31</v>
      </c>
      <c r="FY325" s="6" t="s">
        <v>32</v>
      </c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</row>
    <row r="326" spans="1:249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12"/>
      <c r="DD326" s="5"/>
      <c r="DE326" s="5"/>
      <c r="DF326" s="5"/>
      <c r="DG326" s="5"/>
      <c r="DH326" s="5"/>
      <c r="DI326" s="5"/>
      <c r="DJ326" s="5"/>
      <c r="DK326" s="5"/>
      <c r="DL326" s="5"/>
      <c r="DM326" s="6" t="s">
        <v>124</v>
      </c>
      <c r="DN326" s="34">
        <v>4767</v>
      </c>
      <c r="DO326" s="34">
        <f>79+73+388+654</f>
        <v>1194</v>
      </c>
      <c r="DP326" s="34">
        <v>1617</v>
      </c>
      <c r="DQ326" s="34">
        <f>122+43+42+311</f>
        <v>518</v>
      </c>
      <c r="DR326" s="8">
        <f>SUM(DN326:DQ326)</f>
        <v>8096</v>
      </c>
      <c r="DS326" s="19" t="s">
        <v>335</v>
      </c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6" t="s">
        <v>95</v>
      </c>
      <c r="FX326" s="6" t="s">
        <v>96</v>
      </c>
      <c r="FY326" s="6" t="s">
        <v>97</v>
      </c>
      <c r="FZ326" s="6" t="s">
        <v>72</v>
      </c>
      <c r="GA326" s="6" t="s">
        <v>64</v>
      </c>
      <c r="GB326" s="6" t="s">
        <v>308</v>
      </c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</row>
    <row r="327" spans="1:249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12"/>
      <c r="DD327" s="5"/>
      <c r="DE327" s="5"/>
      <c r="DF327" s="5"/>
      <c r="DG327" s="5"/>
      <c r="DH327" s="5"/>
      <c r="DI327" s="5"/>
      <c r="DJ327" s="5"/>
      <c r="DK327" s="5"/>
      <c r="DL327" s="5"/>
      <c r="DM327" s="6" t="s">
        <v>124</v>
      </c>
      <c r="DN327" s="34">
        <v>4746</v>
      </c>
      <c r="DO327" s="34">
        <v>1188</v>
      </c>
      <c r="DP327" s="34">
        <v>1877</v>
      </c>
      <c r="DQ327" s="34">
        <v>475</v>
      </c>
      <c r="DR327" s="34">
        <v>8286</v>
      </c>
      <c r="DS327" s="19" t="s">
        <v>336</v>
      </c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155"/>
      <c r="FX327" s="155"/>
      <c r="FY327" s="155"/>
      <c r="FZ327" s="155"/>
      <c r="GA327" s="155"/>
      <c r="GB327" s="15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</row>
    <row r="328" spans="1:249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12"/>
      <c r="DD328" s="5"/>
      <c r="DE328" s="5"/>
      <c r="DF328" s="5"/>
      <c r="DG328" s="5"/>
      <c r="DH328" s="5"/>
      <c r="DI328" s="5"/>
      <c r="DJ328" s="5"/>
      <c r="DK328" s="5"/>
      <c r="DL328" s="5"/>
      <c r="DM328" s="6" t="s">
        <v>124</v>
      </c>
      <c r="DN328" s="34">
        <v>5701</v>
      </c>
      <c r="DO328" s="34">
        <v>1230</v>
      </c>
      <c r="DP328" s="34">
        <v>2142</v>
      </c>
      <c r="DQ328" s="34">
        <v>486</v>
      </c>
      <c r="DR328" s="34">
        <v>9559</v>
      </c>
      <c r="DS328" s="19" t="s">
        <v>7</v>
      </c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8" t="e">
        <f>FW330+FW341</f>
        <v>#REF!</v>
      </c>
      <c r="FX328" s="8" t="e">
        <f>FX330+FX341</f>
        <v>#REF!</v>
      </c>
      <c r="FY328" s="8" t="e">
        <f>FY330+FY341</f>
        <v>#REF!</v>
      </c>
      <c r="FZ328" s="8" t="e">
        <f>FZ330+FZ341</f>
        <v>#REF!</v>
      </c>
      <c r="GA328" s="8" t="e">
        <f>GA330+GA341</f>
        <v>#REF!</v>
      </c>
      <c r="GB328" s="6" t="s">
        <v>64</v>
      </c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</row>
    <row r="329" spans="1:249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12"/>
      <c r="DD329" s="5"/>
      <c r="DE329" s="5"/>
      <c r="DF329" s="5"/>
      <c r="DG329" s="5"/>
      <c r="DH329" s="5"/>
      <c r="DI329" s="5"/>
      <c r="DJ329" s="5"/>
      <c r="DK329" s="5"/>
      <c r="DL329" s="5"/>
      <c r="DM329" s="6" t="s">
        <v>124</v>
      </c>
      <c r="DN329" s="8">
        <f>503+7182</f>
        <v>7685</v>
      </c>
      <c r="DO329" s="8">
        <f>87+76+480+663</f>
        <v>1306</v>
      </c>
      <c r="DP329" s="8">
        <f>213+2577</f>
        <v>2790</v>
      </c>
      <c r="DQ329" s="8">
        <f>333-87-76+360</f>
        <v>530</v>
      </c>
      <c r="DR329" s="8">
        <f>SUM(DN329:DQ329)</f>
        <v>12311</v>
      </c>
      <c r="DS329" s="11" t="s">
        <v>39</v>
      </c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8"/>
      <c r="FX329" s="8"/>
      <c r="FY329" s="8"/>
      <c r="FZ329" s="8"/>
      <c r="GA329" s="8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</row>
    <row r="330" spans="1:249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12"/>
      <c r="DD330" s="5"/>
      <c r="DE330" s="5"/>
      <c r="DF330" s="5"/>
      <c r="DG330" s="5"/>
      <c r="DH330" s="5"/>
      <c r="DI330" s="5"/>
      <c r="DJ330" s="5"/>
      <c r="DK330" s="5"/>
      <c r="DL330" s="5"/>
      <c r="DM330" s="73">
        <v>720</v>
      </c>
      <c r="DN330" s="8">
        <f>605+7438</f>
        <v>8043</v>
      </c>
      <c r="DO330" s="8">
        <f>79+104+470+814</f>
        <v>1467</v>
      </c>
      <c r="DP330" s="8">
        <f>234+3325+99+350-720</f>
        <v>3288</v>
      </c>
      <c r="DQ330" s="8">
        <f>367-104-79+385-99</f>
        <v>470</v>
      </c>
      <c r="DR330" s="8">
        <f>SUM(DM330:DQ330)</f>
        <v>13988</v>
      </c>
      <c r="DS330" s="11" t="s">
        <v>161</v>
      </c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8" t="e">
        <f>FW331+FW337</f>
        <v>#REF!</v>
      </c>
      <c r="FX330" s="8" t="e">
        <f>FX331+FX337</f>
        <v>#REF!</v>
      </c>
      <c r="FY330" s="8" t="e">
        <f>FY331+FY337</f>
        <v>#REF!</v>
      </c>
      <c r="FZ330" s="8" t="e">
        <f>FZ331+FZ337</f>
        <v>#REF!</v>
      </c>
      <c r="GA330" s="8" t="e">
        <f>GA331+GA337</f>
        <v>#REF!</v>
      </c>
      <c r="GB330" s="6" t="s">
        <v>309</v>
      </c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</row>
    <row r="331" spans="1:249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12"/>
      <c r="DD331" s="5"/>
      <c r="DE331" s="5"/>
      <c r="DF331" s="5"/>
      <c r="DG331" s="5"/>
      <c r="DH331" s="5"/>
      <c r="DI331" s="5"/>
      <c r="DJ331" s="5"/>
      <c r="DK331" s="5"/>
      <c r="DL331" s="5"/>
      <c r="DM331" s="8">
        <v>1020</v>
      </c>
      <c r="DN331" s="8">
        <v>8925</v>
      </c>
      <c r="DO331" s="8">
        <f>116+86+920+532</f>
        <v>1654</v>
      </c>
      <c r="DP331" s="8">
        <f>114+288+5179-1020</f>
        <v>4561</v>
      </c>
      <c r="DQ331" s="8">
        <f>431-116-86+453-114+120</f>
        <v>688</v>
      </c>
      <c r="DR331" s="8">
        <f>SUM(DM331:DQ331)</f>
        <v>16848</v>
      </c>
      <c r="DS331" s="11" t="s">
        <v>37</v>
      </c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8" t="e">
        <f>#REF!</f>
        <v>#REF!</v>
      </c>
      <c r="FX331" s="8" t="e">
        <f>#REF!</f>
        <v>#REF!</v>
      </c>
      <c r="FY331" s="8" t="e">
        <f>#REF!</f>
        <v>#REF!</v>
      </c>
      <c r="FZ331" s="8" t="e">
        <f>#REF!</f>
        <v>#REF!</v>
      </c>
      <c r="GA331" s="8" t="e">
        <f>SUM(FW331:FZ331)-FY331</f>
        <v>#REF!</v>
      </c>
      <c r="GB331" s="11" t="s">
        <v>207</v>
      </c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</row>
    <row r="332" spans="1:249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12"/>
      <c r="DD332" s="5"/>
      <c r="DE332" s="5"/>
      <c r="DF332" s="5"/>
      <c r="DG332" s="5"/>
      <c r="DH332" s="5"/>
      <c r="DI332" s="5"/>
      <c r="DJ332" s="5"/>
      <c r="DK332" s="5"/>
      <c r="DL332" s="5"/>
      <c r="DM332" s="8">
        <v>948</v>
      </c>
      <c r="DN332" s="8">
        <f>8522+765+334+612+659</f>
        <v>10892</v>
      </c>
      <c r="DO332" s="8">
        <v>1654</v>
      </c>
      <c r="DP332" s="8">
        <f>3745+797+87+148</f>
        <v>4777</v>
      </c>
      <c r="DQ332" s="8">
        <v>1279</v>
      </c>
      <c r="DR332" s="8">
        <f>SUM(DM332:DQ332)</f>
        <v>19550</v>
      </c>
      <c r="DS332" s="11" t="s">
        <v>36</v>
      </c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8"/>
      <c r="FX332" s="8"/>
      <c r="FY332" s="8"/>
      <c r="FZ332" s="8"/>
      <c r="GA332" s="8"/>
      <c r="GB332" s="8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</row>
    <row r="333" spans="1:249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12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8" t="e">
        <f>#REF!</f>
        <v>#REF!</v>
      </c>
      <c r="FX333" s="8" t="e">
        <f>#REF!</f>
        <v>#REF!</v>
      </c>
      <c r="FY333" s="8" t="e">
        <f>#REF!</f>
        <v>#REF!</v>
      </c>
      <c r="FZ333" s="8" t="e">
        <f>#REF!</f>
        <v>#REF!</v>
      </c>
      <c r="GA333" s="8" t="e">
        <f>SUM(FW333:FZ333)-FY333</f>
        <v>#REF!</v>
      </c>
      <c r="GB333" s="11" t="s">
        <v>210</v>
      </c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</row>
    <row r="334" spans="1:249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12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8" t="e">
        <f>#REF!</f>
        <v>#REF!</v>
      </c>
      <c r="FX334" s="8" t="e">
        <f>#REF!</f>
        <v>#REF!</v>
      </c>
      <c r="FY334" s="8" t="e">
        <f>#REF!</f>
        <v>#REF!</v>
      </c>
      <c r="FZ334" s="8" t="e">
        <f>#REF!</f>
        <v>#REF!</v>
      </c>
      <c r="GA334" s="8" t="e">
        <f>SUM(FW334:FZ334)-FY334</f>
        <v>#REF!</v>
      </c>
      <c r="GB334" s="11" t="s">
        <v>211</v>
      </c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</row>
    <row r="335" spans="1:249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12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8" t="e">
        <f>#REF!</f>
        <v>#REF!</v>
      </c>
      <c r="FX335" s="8" t="e">
        <f>#REF!</f>
        <v>#REF!</v>
      </c>
      <c r="FY335" s="8" t="e">
        <f>#REF!</f>
        <v>#REF!</v>
      </c>
      <c r="FZ335" s="8" t="e">
        <f>#REF!</f>
        <v>#REF!</v>
      </c>
      <c r="GA335" s="8" t="e">
        <f>SUM(FW335:FZ335)-FY335</f>
        <v>#REF!</v>
      </c>
      <c r="GB335" s="11" t="s">
        <v>213</v>
      </c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</row>
    <row r="336" spans="1:249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12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8"/>
      <c r="FX336" s="8"/>
      <c r="FY336" s="8"/>
      <c r="FZ336" s="8"/>
      <c r="GA336" s="8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</row>
    <row r="337" spans="1:249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12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8" t="e">
        <f>#REF!</f>
        <v>#REF!</v>
      </c>
      <c r="FX337" s="8" t="e">
        <f>#REF!</f>
        <v>#REF!</v>
      </c>
      <c r="FY337" s="8" t="e">
        <f>#REF!</f>
        <v>#REF!</v>
      </c>
      <c r="FZ337" s="8" t="e">
        <f>#REF!</f>
        <v>#REF!</v>
      </c>
      <c r="GA337" s="8" t="e">
        <f>#REF!</f>
        <v>#REF!</v>
      </c>
      <c r="GB337" s="11" t="s">
        <v>216</v>
      </c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</row>
    <row r="338" spans="1:249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12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8">
        <v>9</v>
      </c>
      <c r="FX338" s="8">
        <v>518</v>
      </c>
      <c r="FY338" s="8">
        <v>293</v>
      </c>
      <c r="FZ338" s="8">
        <v>1145</v>
      </c>
      <c r="GA338" s="8">
        <f>FZ338+FX338+FW338</f>
        <v>1672</v>
      </c>
      <c r="GB338" s="6" t="s">
        <v>310</v>
      </c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</row>
    <row r="339" spans="1:249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12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8"/>
      <c r="FX339" s="8"/>
      <c r="FY339" s="8"/>
      <c r="FZ339" s="8"/>
      <c r="GA339" s="8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</row>
    <row r="340" spans="1:249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12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8"/>
      <c r="FX340" s="8"/>
      <c r="FY340" s="8"/>
      <c r="FZ340" s="8"/>
      <c r="GA340" s="8"/>
      <c r="GB340" s="6" t="s">
        <v>311</v>
      </c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</row>
    <row r="341" spans="1:249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12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11" t="s">
        <v>124</v>
      </c>
      <c r="FX341" s="11" t="s">
        <v>124</v>
      </c>
      <c r="FY341" s="8">
        <f>'[2]T308-317'!GX56</f>
        <v>1775</v>
      </c>
      <c r="FZ341" s="8">
        <v>486</v>
      </c>
      <c r="GA341" s="8">
        <f>FZ341</f>
        <v>486</v>
      </c>
      <c r="GB341" s="6" t="s">
        <v>72</v>
      </c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</row>
    <row r="342" spans="1:249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12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6" t="s">
        <v>32</v>
      </c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</row>
    <row r="343" spans="1:249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12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6" t="s">
        <v>124</v>
      </c>
      <c r="FX343" s="6" t="s">
        <v>124</v>
      </c>
      <c r="FY343" s="73">
        <v>46</v>
      </c>
      <c r="FZ343" s="73">
        <v>115</v>
      </c>
      <c r="GA343" s="73">
        <f>FZ343</f>
        <v>115</v>
      </c>
      <c r="GB343" s="6" t="s">
        <v>312</v>
      </c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</row>
    <row r="344" spans="1:249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12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6" t="s">
        <v>124</v>
      </c>
      <c r="FX344" s="6" t="s">
        <v>124</v>
      </c>
      <c r="FY344" s="73">
        <v>30</v>
      </c>
      <c r="FZ344" s="73">
        <v>102</v>
      </c>
      <c r="GA344" s="73">
        <f>FZ344</f>
        <v>102</v>
      </c>
      <c r="GB344" s="6" t="s">
        <v>337</v>
      </c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</row>
    <row r="345" spans="1:249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12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6" t="s">
        <v>124</v>
      </c>
      <c r="FX345" s="6" t="s">
        <v>124</v>
      </c>
      <c r="FY345" s="8">
        <v>22</v>
      </c>
      <c r="FZ345" s="8">
        <v>100</v>
      </c>
      <c r="GA345" s="73">
        <f>FZ345</f>
        <v>100</v>
      </c>
      <c r="GB345" s="11" t="s">
        <v>314</v>
      </c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</row>
    <row r="346" spans="1:249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12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8"/>
      <c r="FX346" s="8"/>
      <c r="FY346" s="8"/>
      <c r="FZ346" s="8"/>
      <c r="GA346" s="8"/>
      <c r="GB346" s="8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</row>
    <row r="347" spans="1:249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12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8"/>
      <c r="FX347" s="8"/>
      <c r="FY347" s="8"/>
      <c r="FZ347" s="8"/>
      <c r="GA347" s="8"/>
      <c r="GB347" s="11" t="s">
        <v>315</v>
      </c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</row>
    <row r="348" spans="1:249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12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8"/>
      <c r="FX348" s="8"/>
      <c r="FY348" s="8"/>
      <c r="FZ348" s="8"/>
      <c r="GA348" s="8"/>
      <c r="GB348" s="8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</row>
    <row r="349" spans="1:249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12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8"/>
      <c r="FX349" s="8"/>
      <c r="FY349" s="8"/>
      <c r="FZ349" s="8"/>
      <c r="GA349" s="8"/>
      <c r="GB349" s="11" t="s">
        <v>316</v>
      </c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</row>
    <row r="350" spans="1:249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12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8"/>
      <c r="FX350" s="8"/>
      <c r="FY350" s="8"/>
      <c r="FZ350" s="8"/>
      <c r="GA350" s="8"/>
      <c r="GB350" s="8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</row>
    <row r="351" spans="1:249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12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8"/>
      <c r="FX351" s="8"/>
      <c r="FY351" s="8"/>
      <c r="FZ351" s="8"/>
      <c r="GA351" s="8"/>
      <c r="GB351" s="11" t="s">
        <v>338</v>
      </c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</row>
    <row r="352" spans="1:249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12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8"/>
      <c r="FX352" s="8"/>
      <c r="FY352" s="8"/>
      <c r="FZ352" s="5"/>
      <c r="GA352" s="11" t="s">
        <v>339</v>
      </c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</row>
    <row r="353" spans="1:249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12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</row>
    <row r="354" spans="1:249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12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11" t="s">
        <v>340</v>
      </c>
      <c r="FX354" s="5"/>
      <c r="FY354" s="5"/>
      <c r="FZ354" s="8"/>
      <c r="GA354" s="8"/>
      <c r="GB354" s="8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</row>
    <row r="355" spans="1:249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12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8"/>
      <c r="FZ355" s="8"/>
      <c r="GA355" s="8"/>
      <c r="GB355" s="8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</row>
    <row r="356" spans="1:249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12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11" t="s">
        <v>341</v>
      </c>
      <c r="FZ356" s="8"/>
      <c r="GA356" s="8"/>
      <c r="GB356" s="8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</row>
    <row r="357" spans="1:249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12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8"/>
      <c r="FX357" s="11" t="s">
        <v>322</v>
      </c>
      <c r="FY357" s="8"/>
      <c r="FZ357" s="8"/>
      <c r="GA357" s="8"/>
      <c r="GB357" s="8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</row>
    <row r="358" spans="1:249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12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</row>
    <row r="359" spans="1:249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12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</row>
    <row r="360" spans="1:249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12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</row>
    <row r="361" spans="1:249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12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</row>
    <row r="362" spans="1:249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12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</row>
    <row r="363" spans="1:249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12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</row>
    <row r="364" spans="1:249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12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</row>
    <row r="365" spans="1:249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12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</row>
    <row r="366" spans="1:249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12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</row>
    <row r="367" spans="1:249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12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</row>
    <row r="368" spans="1:249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12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</row>
    <row r="369" spans="1:249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12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</row>
    <row r="370" spans="1:249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12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</row>
    <row r="371" spans="1:249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12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</row>
    <row r="372" spans="1:249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12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</row>
    <row r="373" spans="1:249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12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</row>
    <row r="374" spans="1:249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12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</row>
    <row r="375" spans="1:249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12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</row>
    <row r="376" spans="1:249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12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</row>
    <row r="377" spans="1:249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12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6" t="s">
        <v>342</v>
      </c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</row>
    <row r="378" spans="1:249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12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6" t="s">
        <v>343</v>
      </c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</row>
    <row r="379" spans="1:249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12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6" t="s">
        <v>344</v>
      </c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</row>
    <row r="380" spans="1:249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12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</row>
    <row r="381" spans="1:249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12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6" t="s">
        <v>36</v>
      </c>
      <c r="FY381" s="5"/>
      <c r="FZ381" s="6" t="s">
        <v>7</v>
      </c>
      <c r="GA381" s="5"/>
      <c r="GB381" s="6" t="s">
        <v>308</v>
      </c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</row>
    <row r="382" spans="1:249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12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155"/>
      <c r="FY382" s="5"/>
      <c r="FZ382" s="155"/>
      <c r="GA382" s="5"/>
      <c r="GB382" s="15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</row>
    <row r="383" spans="1:249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12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71" t="e">
        <f>GA271/117000*100</f>
        <v>#REF!</v>
      </c>
      <c r="FY383" s="5"/>
      <c r="FZ383" s="71" t="e">
        <f>GA328/$U$16*100</f>
        <v>#REF!</v>
      </c>
      <c r="GA383" s="5"/>
      <c r="GB383" s="6" t="s">
        <v>64</v>
      </c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</row>
    <row r="384" spans="1:249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12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71"/>
      <c r="FY384" s="5"/>
      <c r="FZ384" s="71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</row>
    <row r="385" spans="1:249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12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71" t="e">
        <f>GA273/117000*100</f>
        <v>#REF!</v>
      </c>
      <c r="FY385" s="5"/>
      <c r="FZ385" s="71" t="e">
        <f>GA330/$U$16*100</f>
        <v>#REF!</v>
      </c>
      <c r="GA385" s="5"/>
      <c r="GB385" s="6" t="s">
        <v>309</v>
      </c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</row>
    <row r="386" spans="1:249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12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71" t="e">
        <f>GA274/117000*100</f>
        <v>#REF!</v>
      </c>
      <c r="FY386" s="5"/>
      <c r="FZ386" s="71" t="e">
        <f>GA331/$U$16*100</f>
        <v>#REF!</v>
      </c>
      <c r="GA386" s="5"/>
      <c r="GB386" s="11" t="s">
        <v>207</v>
      </c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</row>
    <row r="387" spans="1:249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12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71"/>
      <c r="FY387" s="5"/>
      <c r="FZ387" s="71"/>
      <c r="GA387" s="5"/>
      <c r="GB387" s="8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</row>
    <row r="388" spans="1:249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12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71" t="e">
        <f>GA276/117000*100</f>
        <v>#REF!</v>
      </c>
      <c r="FY388" s="5"/>
      <c r="FZ388" s="71" t="e">
        <f>GA333/$U$16*100</f>
        <v>#REF!</v>
      </c>
      <c r="GA388" s="5"/>
      <c r="GB388" s="11" t="s">
        <v>210</v>
      </c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</row>
    <row r="389" spans="1:249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12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71" t="e">
        <f>GA277/117000*100</f>
        <v>#REF!</v>
      </c>
      <c r="FY389" s="5"/>
      <c r="FZ389" s="71" t="e">
        <f>GA334/$U$16*100</f>
        <v>#REF!</v>
      </c>
      <c r="GA389" s="5"/>
      <c r="GB389" s="11" t="s">
        <v>211</v>
      </c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</row>
    <row r="390" spans="1:249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12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71" t="e">
        <f>GA278/117000*100</f>
        <v>#REF!</v>
      </c>
      <c r="FY390" s="5"/>
      <c r="FZ390" s="71" t="e">
        <f>GA335/$U$16*100</f>
        <v>#REF!</v>
      </c>
      <c r="GA390" s="5"/>
      <c r="GB390" s="11" t="s">
        <v>213</v>
      </c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</row>
    <row r="391" spans="1:249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12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71"/>
      <c r="FY391" s="5"/>
      <c r="FZ391" s="71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</row>
    <row r="392" spans="1:249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12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71" t="e">
        <f>GA280/117000*100</f>
        <v>#REF!</v>
      </c>
      <c r="FY392" s="5"/>
      <c r="FZ392" s="71" t="e">
        <f>GA337/$U$16*100</f>
        <v>#REF!</v>
      </c>
      <c r="GA392" s="5"/>
      <c r="GB392" s="11" t="s">
        <v>216</v>
      </c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</row>
    <row r="393" spans="1:249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12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71">
        <f>GA281/117000*100</f>
        <v>1.8213675213675216</v>
      </c>
      <c r="FY393" s="5"/>
      <c r="FZ393" s="71">
        <f>GA338/$U$16*100</f>
        <v>2.0706395204834793</v>
      </c>
      <c r="GA393" s="5"/>
      <c r="GB393" s="6" t="s">
        <v>310</v>
      </c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</row>
    <row r="394" spans="1:249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12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71"/>
      <c r="FY394" s="5"/>
      <c r="FZ394" s="71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</row>
    <row r="395" spans="1:249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12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71"/>
      <c r="FY395" s="5"/>
      <c r="FZ395" s="71"/>
      <c r="GA395" s="5"/>
      <c r="GB395" s="6" t="s">
        <v>311</v>
      </c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</row>
    <row r="396" spans="1:249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12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71">
        <f>GA284/117000*100</f>
        <v>1.0931623931623933</v>
      </c>
      <c r="FY396" s="5"/>
      <c r="FZ396" s="71">
        <f>GA341/$U$16*100</f>
        <v>0.60187249219794914</v>
      </c>
      <c r="GA396" s="5"/>
      <c r="GB396" s="6" t="s">
        <v>72</v>
      </c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</row>
    <row r="397" spans="1:249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12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71"/>
      <c r="FY397" s="5"/>
      <c r="FZ397" s="71"/>
      <c r="GA397" s="5"/>
      <c r="GB397" s="6" t="s">
        <v>32</v>
      </c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</row>
    <row r="398" spans="1:249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12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71">
        <f>GA286/117000*100</f>
        <v>0.21965811965811965</v>
      </c>
      <c r="FY398" s="5"/>
      <c r="FZ398" s="71">
        <f>GA343/$U$16*100</f>
        <v>0.14241838807153118</v>
      </c>
      <c r="GA398" s="5"/>
      <c r="GB398" s="6" t="s">
        <v>312</v>
      </c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</row>
    <row r="399" spans="1:249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12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71">
        <f>GA287/117000*100</f>
        <v>5.2991452991452991E-2</v>
      </c>
      <c r="FY399" s="5"/>
      <c r="FZ399" s="71">
        <f>GA344/$U$16*100</f>
        <v>0.12631891811561896</v>
      </c>
      <c r="GA399" s="5"/>
      <c r="GB399" s="6" t="s">
        <v>337</v>
      </c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</row>
    <row r="400" spans="1:249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12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71">
        <f>GA288/117000*100</f>
        <v>0.38803418803418804</v>
      </c>
      <c r="FY400" s="5"/>
      <c r="FZ400" s="71">
        <f>GA345/$U$16*100</f>
        <v>0.12384207658394016</v>
      </c>
      <c r="GA400" s="5"/>
      <c r="GB400" s="11" t="s">
        <v>314</v>
      </c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</row>
    <row r="401" spans="1:249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12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71"/>
      <c r="FZ401" s="71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</row>
    <row r="402" spans="1:249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12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71"/>
      <c r="FZ402" s="71"/>
      <c r="GA402" s="5"/>
      <c r="GB402" s="11" t="s">
        <v>315</v>
      </c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</row>
    <row r="403" spans="1:249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12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</row>
    <row r="404" spans="1:249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12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</row>
    <row r="405" spans="1:249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12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</row>
    <row r="406" spans="1:249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12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</row>
    <row r="407" spans="1:249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12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</row>
    <row r="408" spans="1:249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12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</row>
    <row r="409" spans="1:249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12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</row>
    <row r="410" spans="1:249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12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</row>
    <row r="411" spans="1:249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12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</row>
    <row r="412" spans="1:249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12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</row>
    <row r="413" spans="1:249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12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</row>
    <row r="414" spans="1:249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12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</row>
    <row r="415" spans="1:249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12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</row>
    <row r="416" spans="1:249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12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</row>
    <row r="417" spans="1:249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12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</row>
    <row r="418" spans="1:249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12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</row>
    <row r="419" spans="1:249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12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</row>
    <row r="420" spans="1:249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12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</row>
    <row r="421" spans="1:249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12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</row>
    <row r="422" spans="1:249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12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</row>
    <row r="423" spans="1:249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12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</row>
    <row r="424" spans="1:249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12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</row>
    <row r="425" spans="1:249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12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</row>
    <row r="426" spans="1:249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12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</row>
    <row r="427" spans="1:249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12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</row>
    <row r="428" spans="1:249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12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</row>
    <row r="429" spans="1:249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12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</row>
    <row r="430" spans="1:249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12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</row>
    <row r="431" spans="1:249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12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</row>
    <row r="432" spans="1:249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12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</row>
    <row r="433" spans="1:249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12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</row>
    <row r="434" spans="1:249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12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</row>
    <row r="435" spans="1:249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12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</row>
    <row r="436" spans="1:249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12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</row>
    <row r="437" spans="1:249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12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</row>
    <row r="438" spans="1:249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12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</row>
    <row r="439" spans="1:249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12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</row>
    <row r="440" spans="1:249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12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</row>
    <row r="441" spans="1:249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12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</row>
    <row r="442" spans="1:249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12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</row>
    <row r="443" spans="1:249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12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</row>
    <row r="444" spans="1:249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12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</row>
    <row r="445" spans="1:249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12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</row>
    <row r="446" spans="1:249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12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</row>
    <row r="447" spans="1:249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12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</row>
    <row r="448" spans="1:249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12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</row>
    <row r="449" spans="1:249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12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</row>
    <row r="450" spans="1:249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12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</row>
    <row r="451" spans="1:249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12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</row>
    <row r="452" spans="1:249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12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</row>
    <row r="453" spans="1:249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12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</row>
    <row r="454" spans="1:249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12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</row>
    <row r="455" spans="1:249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12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</row>
    <row r="456" spans="1:249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12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</row>
    <row r="457" spans="1:249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12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</row>
    <row r="458" spans="1:249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12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</row>
    <row r="459" spans="1:249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12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</row>
    <row r="460" spans="1:249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12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</row>
    <row r="461" spans="1:249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12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</row>
    <row r="462" spans="1:249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12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</row>
    <row r="463" spans="1:249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12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</row>
    <row r="464" spans="1:249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12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</row>
    <row r="465" spans="1:249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12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</row>
    <row r="466" spans="1:249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12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</row>
    <row r="467" spans="1:249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12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</row>
    <row r="468" spans="1:249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12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</row>
    <row r="469" spans="1:249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12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</row>
    <row r="470" spans="1:249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12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</row>
    <row r="471" spans="1:249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12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</row>
    <row r="472" spans="1:249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12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</row>
    <row r="473" spans="1:249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12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</row>
    <row r="474" spans="1:249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12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</row>
    <row r="475" spans="1:249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12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</row>
    <row r="476" spans="1:249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12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</row>
    <row r="477" spans="1:249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12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</row>
    <row r="478" spans="1:249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12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</row>
    <row r="479" spans="1:249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12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</row>
    <row r="480" spans="1:249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12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</row>
    <row r="481" spans="1:249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12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</row>
    <row r="482" spans="1:249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12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</row>
    <row r="483" spans="1:249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12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</row>
    <row r="484" spans="1:249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12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</row>
    <row r="485" spans="1:249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12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</row>
    <row r="486" spans="1:249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12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</row>
    <row r="487" spans="1:249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12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</row>
    <row r="488" spans="1:249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12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</row>
    <row r="489" spans="1:249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12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</row>
    <row r="490" spans="1:249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12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</row>
    <row r="491" spans="1:249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12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</row>
    <row r="492" spans="1:249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12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</row>
    <row r="493" spans="1:249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12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</row>
    <row r="494" spans="1:249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12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</row>
    <row r="495" spans="1:249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12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</row>
    <row r="496" spans="1:249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12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</row>
    <row r="497" spans="1:249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12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</row>
    <row r="498" spans="1:249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12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</row>
    <row r="499" spans="1:249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12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</row>
    <row r="500" spans="1:249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12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</row>
    <row r="501" spans="1:249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12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</row>
    <row r="502" spans="1:249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12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</row>
    <row r="503" spans="1:249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12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</row>
    <row r="504" spans="1:249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12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</row>
    <row r="505" spans="1:249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12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</row>
    <row r="506" spans="1:249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12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</row>
    <row r="507" spans="1:249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12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</row>
    <row r="508" spans="1:249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12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</row>
    <row r="509" spans="1:249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12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</row>
    <row r="510" spans="1:249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12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</row>
    <row r="511" spans="1:249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12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</row>
    <row r="512" spans="1:249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12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</row>
    <row r="513" spans="1:249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12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</row>
    <row r="514" spans="1:249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12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</row>
    <row r="515" spans="1:249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12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</row>
    <row r="516" spans="1:249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12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</row>
    <row r="517" spans="1:249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12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</row>
    <row r="518" spans="1:249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12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</row>
    <row r="519" spans="1:249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12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</row>
    <row r="520" spans="1:249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12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</row>
    <row r="521" spans="1:249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12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</row>
    <row r="522" spans="1:249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12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</row>
    <row r="523" spans="1:249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12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</row>
    <row r="524" spans="1:249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12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</row>
    <row r="525" spans="1:249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12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</row>
    <row r="526" spans="1:249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12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</row>
    <row r="527" spans="1:249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12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</row>
    <row r="528" spans="1:249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12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</row>
    <row r="529" spans="1:249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12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</row>
    <row r="530" spans="1:249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12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</row>
    <row r="531" spans="1:249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12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</row>
    <row r="532" spans="1:249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12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</row>
    <row r="533" spans="1:249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12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</row>
    <row r="534" spans="1:249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12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</row>
    <row r="535" spans="1:249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12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</row>
    <row r="536" spans="1:249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12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</row>
    <row r="537" spans="1:249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12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</row>
    <row r="538" spans="1:249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12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</row>
    <row r="539" spans="1:249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12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</row>
    <row r="540" spans="1:249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12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</row>
    <row r="541" spans="1:249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12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</row>
    <row r="542" spans="1:249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12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</row>
    <row r="543" spans="1:249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12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</row>
    <row r="544" spans="1:249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12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</row>
    <row r="545" spans="1:249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12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</row>
    <row r="546" spans="1:249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12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</row>
    <row r="547" spans="1:249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12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</row>
    <row r="548" spans="1:249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12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</row>
    <row r="549" spans="1:249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12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</row>
    <row r="550" spans="1:249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12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</row>
    <row r="551" spans="1:249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12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</row>
    <row r="552" spans="1:249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12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</row>
    <row r="553" spans="1:249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12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</row>
    <row r="554" spans="1:249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12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</row>
    <row r="555" spans="1:249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12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</row>
    <row r="556" spans="1:249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12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</row>
    <row r="557" spans="1:249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12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</row>
    <row r="558" spans="1:249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12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</row>
    <row r="559" spans="1:249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12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</row>
    <row r="560" spans="1:249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12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</row>
    <row r="561" spans="1:249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12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</row>
    <row r="562" spans="1:249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12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</row>
    <row r="563" spans="1:249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12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</row>
    <row r="564" spans="1:249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12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</row>
    <row r="565" spans="1:249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12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</row>
    <row r="566" spans="1:249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12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</row>
    <row r="567" spans="1:249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12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</row>
    <row r="568" spans="1:249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12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</row>
    <row r="569" spans="1:249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12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</row>
    <row r="570" spans="1:249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12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</row>
    <row r="571" spans="1:249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12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</row>
    <row r="572" spans="1:249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12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</row>
    <row r="573" spans="1:249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12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</row>
    <row r="574" spans="1:249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12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</row>
    <row r="575" spans="1:249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12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</row>
    <row r="576" spans="1:249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12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</row>
    <row r="577" spans="1:249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12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</row>
    <row r="578" spans="1:249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12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</row>
    <row r="579" spans="1:249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12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</row>
    <row r="580" spans="1:249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12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</row>
    <row r="581" spans="1:249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12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</row>
    <row r="582" spans="1:249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12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</row>
    <row r="583" spans="1:249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12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</row>
    <row r="584" spans="1:249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12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</row>
    <row r="585" spans="1:249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12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</row>
    <row r="586" spans="1:249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12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</row>
    <row r="587" spans="1:249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12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</row>
    <row r="588" spans="1:249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12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</row>
    <row r="589" spans="1:249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12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</row>
    <row r="590" spans="1:249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12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</row>
    <row r="591" spans="1:249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12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</row>
    <row r="592" spans="1:249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12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</row>
    <row r="593" spans="1:249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12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</row>
    <row r="594" spans="1:249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12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</row>
    <row r="595" spans="1:249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12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</row>
    <row r="596" spans="1:249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12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</row>
    <row r="597" spans="1:249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12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</row>
    <row r="598" spans="1:249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12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</row>
    <row r="599" spans="1:249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12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</row>
    <row r="600" spans="1:249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12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</row>
    <row r="601" spans="1:249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12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</row>
    <row r="602" spans="1:249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12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</row>
    <row r="603" spans="1:249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12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</row>
    <row r="604" spans="1:249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12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</row>
    <row r="605" spans="1:249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12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</row>
    <row r="606" spans="1:249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12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</row>
    <row r="607" spans="1:249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12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</row>
    <row r="608" spans="1:249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12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</row>
    <row r="609" spans="1:249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12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</row>
    <row r="610" spans="1:249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12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</row>
    <row r="611" spans="1:249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12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</row>
    <row r="612" spans="1:249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12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</row>
    <row r="613" spans="1:249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12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</row>
    <row r="614" spans="1:249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12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</row>
    <row r="615" spans="1:249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12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</row>
    <row r="616" spans="1:249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12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</row>
    <row r="617" spans="1:249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12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</row>
    <row r="618" spans="1:249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12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</row>
    <row r="619" spans="1:249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12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</row>
    <row r="620" spans="1:249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12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</row>
    <row r="621" spans="1:249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12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</row>
    <row r="622" spans="1:249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12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</row>
    <row r="623" spans="1:249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12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</row>
    <row r="624" spans="1:249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12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</row>
    <row r="625" spans="1:249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12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</row>
    <row r="626" spans="1:249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12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</row>
    <row r="627" spans="1:249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12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</row>
    <row r="628" spans="1:249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12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</row>
    <row r="629" spans="1:249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12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</row>
    <row r="630" spans="1:249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12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</row>
    <row r="631" spans="1:249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12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</row>
    <row r="632" spans="1:249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12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</row>
    <row r="633" spans="1:249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12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</row>
    <row r="634" spans="1:249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12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</row>
    <row r="635" spans="1:249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12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</row>
    <row r="636" spans="1:249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12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</row>
    <row r="637" spans="1:249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12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</row>
    <row r="638" spans="1:249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12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</row>
    <row r="639" spans="1:249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12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</row>
    <row r="640" spans="1:249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12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</row>
    <row r="641" spans="1:249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12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</row>
    <row r="642" spans="1:249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12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</row>
    <row r="643" spans="1:249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12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</row>
    <row r="644" spans="1:249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12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</row>
    <row r="645" spans="1:249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12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</row>
    <row r="646" spans="1:249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12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</row>
    <row r="647" spans="1:249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12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</row>
    <row r="648" spans="1:249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12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</row>
    <row r="649" spans="1:249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12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</row>
    <row r="650" spans="1:249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12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</row>
    <row r="651" spans="1:249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12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</row>
    <row r="652" spans="1:249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12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</row>
    <row r="653" spans="1:249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12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</row>
    <row r="654" spans="1:249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12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</row>
    <row r="655" spans="1:249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12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</row>
    <row r="656" spans="1:249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12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</row>
    <row r="657" spans="1:249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12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</row>
    <row r="658" spans="1:249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12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</row>
    <row r="659" spans="1:249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12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</row>
    <row r="660" spans="1:249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12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</row>
    <row r="661" spans="1:249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12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</row>
    <row r="662" spans="1:249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12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</row>
    <row r="663" spans="1:249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12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</row>
    <row r="664" spans="1:249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12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</row>
    <row r="665" spans="1:249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12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</row>
    <row r="666" spans="1:249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12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</row>
    <row r="667" spans="1:249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12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</row>
    <row r="668" spans="1:249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12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</row>
    <row r="669" spans="1:249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12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</row>
    <row r="670" spans="1:249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12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</row>
    <row r="671" spans="1:249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12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</row>
    <row r="672" spans="1:249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12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</row>
    <row r="673" spans="1:249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12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</row>
    <row r="674" spans="1:249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12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</row>
    <row r="675" spans="1:249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12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</row>
    <row r="676" spans="1:249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12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</row>
    <row r="677" spans="1:249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12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</row>
    <row r="678" spans="1:249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12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</row>
    <row r="679" spans="1:249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12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</row>
    <row r="680" spans="1:249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12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</row>
    <row r="681" spans="1:249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12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</row>
    <row r="682" spans="1:249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12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</row>
    <row r="683" spans="1:249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12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</row>
    <row r="684" spans="1:249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12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</row>
    <row r="685" spans="1:249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12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</row>
    <row r="686" spans="1:249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12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</row>
    <row r="687" spans="1:249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12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</row>
    <row r="688" spans="1:249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12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</row>
    <row r="689" spans="1:249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12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</row>
    <row r="690" spans="1:249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12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</row>
    <row r="691" spans="1:249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12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</row>
    <row r="692" spans="1:249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12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</row>
    <row r="693" spans="1:249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12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</row>
    <row r="694" spans="1:249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12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</row>
    <row r="695" spans="1:249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12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</row>
    <row r="696" spans="1:249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12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</row>
    <row r="697" spans="1:249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12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</row>
    <row r="698" spans="1:249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12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</row>
    <row r="699" spans="1:249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12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</row>
    <row r="700" spans="1:249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12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</row>
    <row r="701" spans="1:249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12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</row>
    <row r="702" spans="1:249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12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</row>
    <row r="703" spans="1:249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12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</row>
    <row r="704" spans="1:249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12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</row>
    <row r="705" spans="1:249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12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</row>
    <row r="706" spans="1:249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12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</row>
    <row r="707" spans="1:249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12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</row>
    <row r="708" spans="1:249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12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</row>
    <row r="709" spans="1:249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12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</row>
    <row r="710" spans="1:249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12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</row>
    <row r="711" spans="1:249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12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</row>
    <row r="712" spans="1:249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12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</row>
    <row r="713" spans="1:249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12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</row>
    <row r="714" spans="1:249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12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</row>
    <row r="715" spans="1:249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12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</row>
    <row r="716" spans="1:249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12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</row>
    <row r="717" spans="1:249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12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</row>
    <row r="718" spans="1:249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12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</row>
    <row r="719" spans="1:249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12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</row>
    <row r="720" spans="1:249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12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</row>
    <row r="721" spans="1:249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12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</row>
    <row r="722" spans="1:249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12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</row>
    <row r="723" spans="1:249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12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</row>
    <row r="724" spans="1:249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12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</row>
    <row r="725" spans="1:249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12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</row>
    <row r="726" spans="1:249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12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</row>
    <row r="727" spans="1:249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12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</row>
    <row r="728" spans="1:249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12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</row>
    <row r="729" spans="1:249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12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</row>
    <row r="730" spans="1:249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12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</row>
    <row r="731" spans="1:249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12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</row>
    <row r="732" spans="1:249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12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</row>
    <row r="733" spans="1:249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12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</row>
    <row r="734" spans="1:249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12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</row>
    <row r="735" spans="1:249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12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</row>
    <row r="736" spans="1:249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12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</row>
    <row r="737" spans="1:249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12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</row>
    <row r="738" spans="1:249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12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</row>
    <row r="739" spans="1:249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12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</row>
    <row r="740" spans="1:249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12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</row>
    <row r="741" spans="1:249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12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</row>
    <row r="742" spans="1:249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12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</row>
    <row r="743" spans="1:249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12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</row>
    <row r="744" spans="1:249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12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</row>
    <row r="745" spans="1:249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12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</row>
    <row r="746" spans="1:249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12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</row>
    <row r="747" spans="1:249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12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</row>
    <row r="748" spans="1:249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12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</row>
    <row r="749" spans="1:249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12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</row>
    <row r="750" spans="1:249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12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</row>
    <row r="751" spans="1:249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12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</row>
    <row r="752" spans="1:249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12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</row>
    <row r="753" spans="1:249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12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</row>
    <row r="754" spans="1:249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12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</row>
    <row r="755" spans="1:249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12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</row>
    <row r="756" spans="1:249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12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</row>
    <row r="757" spans="1:249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12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</row>
    <row r="758" spans="1:249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12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</row>
    <row r="759" spans="1:249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12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</row>
    <row r="760" spans="1:249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12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</row>
    <row r="761" spans="1:249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12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</row>
    <row r="762" spans="1:249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12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</row>
    <row r="763" spans="1:249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12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</row>
    <row r="764" spans="1:249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12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</row>
    <row r="765" spans="1:249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12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</row>
    <row r="766" spans="1:249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12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</row>
    <row r="767" spans="1:249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12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</row>
    <row r="768" spans="1:249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12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</row>
    <row r="769" spans="1:249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12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</row>
    <row r="770" spans="1:249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12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</row>
    <row r="771" spans="1:249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12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</row>
    <row r="772" spans="1:249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12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</row>
    <row r="773" spans="1:249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12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</row>
    <row r="774" spans="1:249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12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</row>
    <row r="775" spans="1:249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12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</row>
    <row r="776" spans="1:249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12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</row>
    <row r="777" spans="1:249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12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</row>
    <row r="778" spans="1:249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12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</row>
    <row r="779" spans="1:249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12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</row>
    <row r="780" spans="1:249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12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</row>
    <row r="781" spans="1:249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12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</row>
    <row r="782" spans="1:249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12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</row>
    <row r="783" spans="1:249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12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</row>
    <row r="784" spans="1:249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12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</row>
    <row r="785" spans="1:249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12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</row>
    <row r="786" spans="1:249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12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</row>
    <row r="787" spans="1:249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12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</row>
    <row r="788" spans="1:249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12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</row>
    <row r="789" spans="1:249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12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</row>
    <row r="790" spans="1:249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12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</row>
    <row r="791" spans="1:249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12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</row>
    <row r="792" spans="1:249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12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</row>
    <row r="793" spans="1:249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12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</row>
    <row r="794" spans="1:249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12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</row>
    <row r="795" spans="1:249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12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</row>
    <row r="796" spans="1:249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12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</row>
    <row r="797" spans="1:249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12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</row>
    <row r="798" spans="1:249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12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</row>
    <row r="799" spans="1:249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12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</row>
    <row r="800" spans="1:249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12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</row>
    <row r="801" spans="1:249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12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</row>
    <row r="802" spans="1:249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12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</row>
    <row r="803" spans="1:249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12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</row>
    <row r="804" spans="1:249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12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</row>
    <row r="805" spans="1:249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12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</row>
    <row r="806" spans="1:249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12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</row>
    <row r="807" spans="1:249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12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</row>
    <row r="808" spans="1:249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12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</row>
    <row r="809" spans="1:249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12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</row>
    <row r="810" spans="1:249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12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</row>
    <row r="811" spans="1:249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12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</row>
    <row r="812" spans="1:249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12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</row>
    <row r="813" spans="1:249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12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</row>
    <row r="814" spans="1:249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12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</row>
    <row r="815" spans="1:249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12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</row>
    <row r="816" spans="1:249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12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</row>
    <row r="817" spans="1:249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12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</row>
    <row r="818" spans="1:249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12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</row>
    <row r="819" spans="1:249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12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</row>
    <row r="820" spans="1:249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12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</row>
    <row r="821" spans="1:249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12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</row>
    <row r="822" spans="1:249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12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</row>
    <row r="823" spans="1:249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12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</row>
    <row r="824" spans="1:249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12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</row>
    <row r="825" spans="1:249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12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</row>
    <row r="826" spans="1:249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12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</row>
    <row r="827" spans="1:249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12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</row>
    <row r="828" spans="1:249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12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</row>
    <row r="829" spans="1:249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12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</row>
    <row r="830" spans="1:249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12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</row>
    <row r="831" spans="1:249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12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</row>
    <row r="832" spans="1:249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12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</row>
    <row r="833" spans="1:249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12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</row>
    <row r="834" spans="1:249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12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</row>
    <row r="835" spans="1:249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12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</row>
    <row r="836" spans="1:249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12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</row>
    <row r="837" spans="1:249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12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</row>
    <row r="838" spans="1:249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12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</row>
    <row r="839" spans="1:249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12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</row>
    <row r="840" spans="1:249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12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</row>
    <row r="841" spans="1:249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12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</row>
    <row r="842" spans="1:249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12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</row>
    <row r="843" spans="1:249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12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</row>
    <row r="844" spans="1:249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12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</row>
    <row r="845" spans="1:249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12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</row>
    <row r="846" spans="1:249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12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</row>
    <row r="847" spans="1:249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12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</row>
    <row r="848" spans="1:249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12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</row>
    <row r="849" spans="1:249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12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</row>
    <row r="850" spans="1:249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12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</row>
    <row r="851" spans="1:249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12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</row>
    <row r="852" spans="1:249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</row>
    <row r="853" spans="1:249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</row>
    <row r="854" spans="1:249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</row>
    <row r="855" spans="1:249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</row>
    <row r="856" spans="1:249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</row>
    <row r="857" spans="1:249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</row>
    <row r="858" spans="1:249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</row>
  </sheetData>
  <mergeCells count="4">
    <mergeCell ref="F6:R6"/>
    <mergeCell ref="F7:R7"/>
    <mergeCell ref="B6:B9"/>
    <mergeCell ref="U6:U9"/>
  </mergeCells>
  <phoneticPr fontId="0" type="noConversion"/>
  <printOptions horizontalCentered="1"/>
  <pageMargins left="0.22" right="0.19" top="0.78740157480314965" bottom="0.39370078740157483" header="0" footer="0"/>
  <pageSetup paperSize="9" scale="78" orientation="portrait" horizontalDpi="2540" verticalDpi="254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Table 1</vt:lpstr>
      <vt:lpstr>'Table 1'!Print_Area_MI</vt:lpstr>
      <vt:lpstr>'Table 1'!Print_Titles_MI</vt:lpstr>
      <vt:lpstr>'Table 1'!WPrint_Area_W</vt:lpstr>
      <vt:lpstr>'Table 1'!WPrint_TitlesW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2019-12-09T11:49:10Z</cp:lastPrinted>
  <dcterms:created xsi:type="dcterms:W3CDTF">2005-07-14T07:39:08Z</dcterms:created>
  <dcterms:modified xsi:type="dcterms:W3CDTF">2020-09-07T08:03:12Z</dcterms:modified>
</cp:coreProperties>
</file>